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itzy\Documents\SVO\proyectos inmobiliarios\actuales\Pixka\proyectos pixka\Puerto Vallarta\"/>
    </mc:Choice>
  </mc:AlternateContent>
  <bookViews>
    <workbookView xWindow="0" yWindow="0" windowWidth="20490" windowHeight="7620" firstSheet="2" activeTab="2"/>
  </bookViews>
  <sheets>
    <sheet name="1) Corrida Financiera" sheetId="6" state="hidden" r:id="rId1"/>
    <sheet name="1.1) Desagregado Trimestral" sheetId="13" state="hidden" r:id="rId2"/>
    <sheet name="desagregado quincenal" sheetId="14" r:id="rId3"/>
    <sheet name="2) Parámetros y áreas" sheetId="8" r:id="rId4"/>
    <sheet name="3) Resumen" sheetId="11" r:id="rId5"/>
    <sheet name="Calendario Aport Terreno" sheetId="12" r:id="rId6"/>
    <sheet name="Mercado" sheetId="1" state="hidden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4" l="1"/>
  <c r="F47" i="14"/>
  <c r="F58" i="14"/>
  <c r="F56" i="14"/>
  <c r="G17" i="14"/>
  <c r="G18" i="14"/>
  <c r="G19" i="14"/>
  <c r="G16" i="14"/>
  <c r="H17" i="14"/>
  <c r="H18" i="14"/>
  <c r="H19" i="14"/>
  <c r="H16" i="14"/>
  <c r="I17" i="14"/>
  <c r="I18" i="14"/>
  <c r="I19" i="14"/>
  <c r="I16" i="14"/>
  <c r="J17" i="14"/>
  <c r="J18" i="14"/>
  <c r="J19" i="14"/>
  <c r="J16" i="14"/>
  <c r="K17" i="14"/>
  <c r="K18" i="14"/>
  <c r="K19" i="14"/>
  <c r="K16" i="14"/>
  <c r="L17" i="14"/>
  <c r="L18" i="14"/>
  <c r="L19" i="14"/>
  <c r="L16" i="14"/>
  <c r="M17" i="14"/>
  <c r="M18" i="14"/>
  <c r="M19" i="14"/>
  <c r="M16" i="14"/>
  <c r="N17" i="14"/>
  <c r="N18" i="14"/>
  <c r="N19" i="14"/>
  <c r="N16" i="14"/>
  <c r="O17" i="14"/>
  <c r="O18" i="14"/>
  <c r="O19" i="14"/>
  <c r="O16" i="14"/>
  <c r="P17" i="14"/>
  <c r="P18" i="14"/>
  <c r="P19" i="14"/>
  <c r="P16" i="14"/>
  <c r="Q17" i="14"/>
  <c r="Q18" i="14"/>
  <c r="Q19" i="14"/>
  <c r="Q16" i="14"/>
  <c r="R17" i="14"/>
  <c r="R18" i="14"/>
  <c r="R19" i="14"/>
  <c r="R16" i="14"/>
  <c r="S17" i="14"/>
  <c r="S18" i="14"/>
  <c r="S19" i="14"/>
  <c r="S16" i="14"/>
  <c r="T17" i="14"/>
  <c r="T18" i="14"/>
  <c r="T19" i="14"/>
  <c r="T16" i="14"/>
  <c r="U17" i="14"/>
  <c r="U18" i="14"/>
  <c r="U19" i="14"/>
  <c r="U16" i="14"/>
  <c r="V17" i="14"/>
  <c r="V18" i="14"/>
  <c r="V19" i="14"/>
  <c r="V16" i="14"/>
  <c r="W17" i="14"/>
  <c r="W18" i="14"/>
  <c r="W19" i="14"/>
  <c r="W16" i="14"/>
  <c r="X17" i="14"/>
  <c r="X18" i="14"/>
  <c r="X19" i="14"/>
  <c r="X16" i="14"/>
  <c r="Y17" i="14"/>
  <c r="Y18" i="14"/>
  <c r="Y19" i="14"/>
  <c r="Y16" i="14"/>
  <c r="Z17" i="14"/>
  <c r="Z18" i="14"/>
  <c r="Z19" i="14"/>
  <c r="Z16" i="14"/>
  <c r="AA17" i="14"/>
  <c r="AA18" i="14"/>
  <c r="AA19" i="14"/>
  <c r="AA16" i="14"/>
  <c r="AB19" i="14"/>
  <c r="AB16" i="14"/>
  <c r="AC19" i="14"/>
  <c r="AC16" i="14"/>
  <c r="AD19" i="14"/>
  <c r="AD16" i="14"/>
  <c r="AE19" i="14"/>
  <c r="AE16" i="14"/>
  <c r="AF19" i="14"/>
  <c r="AF16" i="14"/>
  <c r="AG19" i="14"/>
  <c r="AG16" i="14"/>
  <c r="AH19" i="14"/>
  <c r="AH16" i="14"/>
  <c r="AI19" i="14"/>
  <c r="AI16" i="14"/>
  <c r="AJ19" i="14"/>
  <c r="AJ16" i="14"/>
  <c r="AK19" i="14"/>
  <c r="AK16" i="14"/>
  <c r="AL19" i="14"/>
  <c r="AL16" i="14"/>
  <c r="AM19" i="14"/>
  <c r="AM16" i="14"/>
  <c r="AN19" i="14"/>
  <c r="AN16" i="14"/>
  <c r="AO19" i="14"/>
  <c r="AO16" i="14"/>
  <c r="AP19" i="14"/>
  <c r="AP16" i="14"/>
  <c r="AQ19" i="14"/>
  <c r="AQ16" i="14"/>
  <c r="AR19" i="14"/>
  <c r="AR16" i="14"/>
  <c r="AS19" i="14"/>
  <c r="AS16" i="14"/>
  <c r="AT19" i="14"/>
  <c r="AT16" i="14"/>
  <c r="AU19" i="14"/>
  <c r="AU16" i="14"/>
  <c r="AV19" i="14"/>
  <c r="AV16" i="14"/>
  <c r="AW19" i="14"/>
  <c r="AW16" i="14"/>
  <c r="AX19" i="14"/>
  <c r="AX16" i="14"/>
  <c r="AY19" i="14"/>
  <c r="AY16" i="14"/>
  <c r="AZ19" i="14"/>
  <c r="AZ16" i="14"/>
  <c r="BA19" i="14"/>
  <c r="BA16" i="14"/>
  <c r="BB19" i="14"/>
  <c r="BB16" i="14"/>
  <c r="BC19" i="14"/>
  <c r="BC16" i="14"/>
  <c r="BD19" i="14"/>
  <c r="BD16" i="14"/>
  <c r="BE19" i="14"/>
  <c r="BE16" i="14"/>
  <c r="BF19" i="14"/>
  <c r="BF16" i="14"/>
  <c r="BG19" i="14"/>
  <c r="BG16" i="14"/>
  <c r="BH19" i="14"/>
  <c r="BH16" i="14"/>
  <c r="BI19" i="14"/>
  <c r="BI16" i="14"/>
  <c r="BJ19" i="14"/>
  <c r="BJ16" i="14"/>
  <c r="BK19" i="14"/>
  <c r="BK16" i="14"/>
  <c r="BL19" i="14"/>
  <c r="BL16" i="14"/>
  <c r="BM19" i="14"/>
  <c r="BM16" i="14"/>
  <c r="BN19" i="14"/>
  <c r="BN16" i="14"/>
  <c r="BO19" i="14"/>
  <c r="BO16" i="14"/>
  <c r="BP19" i="14"/>
  <c r="BP16" i="14"/>
  <c r="BQ19" i="14"/>
  <c r="BQ16" i="14"/>
  <c r="BR19" i="14"/>
  <c r="BR16" i="14"/>
  <c r="BS19" i="14"/>
  <c r="BS16" i="14"/>
  <c r="BT19" i="14"/>
  <c r="BT16" i="14"/>
  <c r="BU19" i="14"/>
  <c r="BU16" i="14"/>
  <c r="BV19" i="14"/>
  <c r="BV16" i="14"/>
  <c r="BW19" i="14"/>
  <c r="BW16" i="14"/>
  <c r="BX19" i="14"/>
  <c r="BX16" i="14"/>
  <c r="BY19" i="14"/>
  <c r="BY16" i="14"/>
  <c r="BZ19" i="14"/>
  <c r="BZ16" i="14"/>
  <c r="CA19" i="14"/>
  <c r="CA16" i="14"/>
  <c r="CB19" i="14"/>
  <c r="CB16" i="14"/>
  <c r="CC19" i="14"/>
  <c r="CC16" i="14"/>
  <c r="CD19" i="14"/>
  <c r="CD16" i="14"/>
  <c r="CE19" i="14"/>
  <c r="CE16" i="14"/>
  <c r="CF19" i="14"/>
  <c r="CF16" i="14"/>
  <c r="CG19" i="14"/>
  <c r="CG16" i="14"/>
  <c r="CH19" i="14"/>
  <c r="CH16" i="14"/>
  <c r="CI19" i="14"/>
  <c r="CI16" i="14"/>
  <c r="CJ19" i="14"/>
  <c r="CJ16" i="14"/>
  <c r="CK19" i="14"/>
  <c r="CK16" i="14"/>
  <c r="CL19" i="14"/>
  <c r="CL16" i="14"/>
  <c r="CM19" i="14"/>
  <c r="CM16" i="14"/>
  <c r="CN19" i="14"/>
  <c r="CN16" i="14"/>
  <c r="CO19" i="14"/>
  <c r="CO16" i="14"/>
  <c r="CP19" i="14"/>
  <c r="CP16" i="14"/>
  <c r="CQ19" i="14"/>
  <c r="CQ16" i="14"/>
  <c r="CR19" i="14"/>
  <c r="CR16" i="14"/>
  <c r="CS19" i="14"/>
  <c r="CS16" i="14"/>
  <c r="CT19" i="14"/>
  <c r="CT16" i="14"/>
  <c r="CU19" i="14"/>
  <c r="CU16" i="14"/>
  <c r="D16" i="14"/>
  <c r="E16" i="14"/>
  <c r="F16" i="14"/>
  <c r="CV16" i="14"/>
  <c r="F20" i="14"/>
  <c r="F6" i="14"/>
  <c r="A21" i="14"/>
  <c r="F21" i="14"/>
  <c r="F23" i="14"/>
  <c r="A24" i="14"/>
  <c r="F24" i="14"/>
  <c r="F25" i="14"/>
  <c r="F28" i="14"/>
  <c r="F30" i="14"/>
  <c r="F37" i="14"/>
  <c r="G7" i="14"/>
  <c r="G11" i="14"/>
  <c r="G6" i="14"/>
  <c r="G21" i="14"/>
  <c r="G22" i="14"/>
  <c r="G23" i="14"/>
  <c r="G24" i="14"/>
  <c r="G25" i="14"/>
  <c r="G28" i="14"/>
  <c r="G30" i="14"/>
  <c r="G37" i="14"/>
  <c r="H7" i="14"/>
  <c r="H11" i="14"/>
  <c r="H6" i="14"/>
  <c r="H21" i="14"/>
  <c r="H23" i="14"/>
  <c r="H24" i="14"/>
  <c r="H25" i="14"/>
  <c r="H28" i="14"/>
  <c r="H30" i="14"/>
  <c r="H37" i="14"/>
  <c r="I7" i="14"/>
  <c r="I11" i="14"/>
  <c r="I6" i="14"/>
  <c r="I21" i="14"/>
  <c r="I23" i="14"/>
  <c r="I24" i="14"/>
  <c r="I25" i="14"/>
  <c r="I28" i="14"/>
  <c r="I30" i="14"/>
  <c r="I37" i="14"/>
  <c r="J7" i="14"/>
  <c r="J11" i="14"/>
  <c r="J6" i="14"/>
  <c r="J21" i="14"/>
  <c r="J23" i="14"/>
  <c r="J24" i="14"/>
  <c r="J25" i="14"/>
  <c r="J28" i="14"/>
  <c r="J30" i="14"/>
  <c r="J37" i="14"/>
  <c r="K7" i="14"/>
  <c r="K11" i="14"/>
  <c r="K6" i="14"/>
  <c r="K21" i="14"/>
  <c r="K23" i="14"/>
  <c r="K24" i="14"/>
  <c r="K25" i="14"/>
  <c r="K28" i="14"/>
  <c r="K30" i="14"/>
  <c r="K37" i="14"/>
  <c r="L7" i="14"/>
  <c r="L11" i="14"/>
  <c r="L6" i="14"/>
  <c r="L21" i="14"/>
  <c r="L23" i="14"/>
  <c r="L24" i="14"/>
  <c r="L25" i="14"/>
  <c r="L28" i="14"/>
  <c r="L30" i="14"/>
  <c r="L37" i="14"/>
  <c r="M7" i="14"/>
  <c r="M11" i="14"/>
  <c r="M6" i="14"/>
  <c r="M21" i="14"/>
  <c r="M23" i="14"/>
  <c r="M24" i="14"/>
  <c r="M25" i="14"/>
  <c r="M28" i="14"/>
  <c r="M30" i="14"/>
  <c r="M37" i="14"/>
  <c r="N7" i="14"/>
  <c r="N11" i="14"/>
  <c r="N6" i="14"/>
  <c r="N21" i="14"/>
  <c r="N23" i="14"/>
  <c r="N24" i="14"/>
  <c r="N25" i="14"/>
  <c r="N28" i="14"/>
  <c r="N30" i="14"/>
  <c r="N37" i="14"/>
  <c r="O7" i="14"/>
  <c r="O11" i="14"/>
  <c r="O6" i="14"/>
  <c r="O21" i="14"/>
  <c r="O23" i="14"/>
  <c r="O24" i="14"/>
  <c r="O25" i="14"/>
  <c r="O28" i="14"/>
  <c r="O30" i="14"/>
  <c r="O37" i="14"/>
  <c r="P7" i="14"/>
  <c r="P11" i="14"/>
  <c r="P6" i="14"/>
  <c r="P21" i="14"/>
  <c r="P23" i="14"/>
  <c r="P24" i="14"/>
  <c r="P25" i="14"/>
  <c r="P28" i="14"/>
  <c r="P30" i="14"/>
  <c r="P37" i="14"/>
  <c r="Q7" i="14"/>
  <c r="Q11" i="14"/>
  <c r="Q6" i="14"/>
  <c r="Q21" i="14"/>
  <c r="Q23" i="14"/>
  <c r="Q24" i="14"/>
  <c r="Q25" i="14"/>
  <c r="Q28" i="14"/>
  <c r="Q30" i="14"/>
  <c r="Q37" i="14"/>
  <c r="R7" i="14"/>
  <c r="R11" i="14"/>
  <c r="R6" i="14"/>
  <c r="R21" i="14"/>
  <c r="R23" i="14"/>
  <c r="R24" i="14"/>
  <c r="R25" i="14"/>
  <c r="R28" i="14"/>
  <c r="R30" i="14"/>
  <c r="R37" i="14"/>
  <c r="S7" i="14"/>
  <c r="S11" i="14"/>
  <c r="S6" i="14"/>
  <c r="S21" i="14"/>
  <c r="S23" i="14"/>
  <c r="S24" i="14"/>
  <c r="S25" i="14"/>
  <c r="S28" i="14"/>
  <c r="S30" i="14"/>
  <c r="S37" i="14"/>
  <c r="T7" i="14"/>
  <c r="T11" i="14"/>
  <c r="T6" i="14"/>
  <c r="T21" i="14"/>
  <c r="T23" i="14"/>
  <c r="T24" i="14"/>
  <c r="T25" i="14"/>
  <c r="T28" i="14"/>
  <c r="T30" i="14"/>
  <c r="T37" i="14"/>
  <c r="U7" i="14"/>
  <c r="U11" i="14"/>
  <c r="U6" i="14"/>
  <c r="U21" i="14"/>
  <c r="U23" i="14"/>
  <c r="U24" i="14"/>
  <c r="U25" i="14"/>
  <c r="U28" i="14"/>
  <c r="U30" i="14"/>
  <c r="U37" i="14"/>
  <c r="V7" i="14"/>
  <c r="V11" i="14"/>
  <c r="V6" i="14"/>
  <c r="V20" i="14"/>
  <c r="V21" i="14"/>
  <c r="V23" i="14"/>
  <c r="V24" i="14"/>
  <c r="V25" i="14"/>
  <c r="V28" i="14"/>
  <c r="V30" i="14"/>
  <c r="V37" i="14"/>
  <c r="W7" i="14"/>
  <c r="W11" i="14"/>
  <c r="W6" i="14"/>
  <c r="W21" i="14"/>
  <c r="W23" i="14"/>
  <c r="W24" i="14"/>
  <c r="W25" i="14"/>
  <c r="W28" i="14"/>
  <c r="W30" i="14"/>
  <c r="W37" i="14"/>
  <c r="X7" i="14"/>
  <c r="X11" i="14"/>
  <c r="X6" i="14"/>
  <c r="X21" i="14"/>
  <c r="X23" i="14"/>
  <c r="X24" i="14"/>
  <c r="X25" i="14"/>
  <c r="X28" i="14"/>
  <c r="X30" i="14"/>
  <c r="X37" i="14"/>
  <c r="Y7" i="14"/>
  <c r="Y11" i="14"/>
  <c r="Y6" i="14"/>
  <c r="Y21" i="14"/>
  <c r="Y23" i="14"/>
  <c r="Y24" i="14"/>
  <c r="Y25" i="14"/>
  <c r="Y28" i="14"/>
  <c r="Y30" i="14"/>
  <c r="Y37" i="14"/>
  <c r="Z7" i="14"/>
  <c r="Z11" i="14"/>
  <c r="Z6" i="14"/>
  <c r="Z21" i="14"/>
  <c r="Z23" i="14"/>
  <c r="Z24" i="14"/>
  <c r="Z25" i="14"/>
  <c r="Z28" i="14"/>
  <c r="Z30" i="14"/>
  <c r="Z37" i="14"/>
  <c r="AA7" i="14"/>
  <c r="AA11" i="14"/>
  <c r="AA6" i="14"/>
  <c r="AA21" i="14"/>
  <c r="AA23" i="14"/>
  <c r="AA24" i="14"/>
  <c r="AA25" i="14"/>
  <c r="AA28" i="14"/>
  <c r="AA30" i="14"/>
  <c r="AA37" i="14"/>
  <c r="AB23" i="14"/>
  <c r="AB8" i="14"/>
  <c r="AB12" i="14"/>
  <c r="AB6" i="14"/>
  <c r="AB21" i="14"/>
  <c r="AB24" i="14"/>
  <c r="AB25" i="14"/>
  <c r="AB28" i="14"/>
  <c r="AB30" i="14"/>
  <c r="AB37" i="14"/>
  <c r="AC23" i="14"/>
  <c r="AC8" i="14"/>
  <c r="AC12" i="14"/>
  <c r="AC6" i="14"/>
  <c r="AC21" i="14"/>
  <c r="AC24" i="14"/>
  <c r="AC25" i="14"/>
  <c r="AC28" i="14"/>
  <c r="AC30" i="14"/>
  <c r="AC37" i="14"/>
  <c r="AD23" i="14"/>
  <c r="AD8" i="14"/>
  <c r="AD12" i="14"/>
  <c r="AD6" i="14"/>
  <c r="AD21" i="14"/>
  <c r="AD24" i="14"/>
  <c r="AD25" i="14"/>
  <c r="AD28" i="14"/>
  <c r="AD30" i="14"/>
  <c r="AD37" i="14"/>
  <c r="AE8" i="14"/>
  <c r="AE12" i="14"/>
  <c r="AE6" i="14"/>
  <c r="AE21" i="14"/>
  <c r="AE23" i="14"/>
  <c r="AE24" i="14"/>
  <c r="AE25" i="14"/>
  <c r="AE28" i="14"/>
  <c r="AE30" i="14"/>
  <c r="AE37" i="14"/>
  <c r="AF8" i="14"/>
  <c r="AF12" i="14"/>
  <c r="AF6" i="14"/>
  <c r="AF21" i="14"/>
  <c r="AF23" i="14"/>
  <c r="AF24" i="14"/>
  <c r="AF25" i="14"/>
  <c r="AF28" i="14"/>
  <c r="AF30" i="14"/>
  <c r="AF37" i="14"/>
  <c r="AG8" i="14"/>
  <c r="AG12" i="14"/>
  <c r="AG6" i="14"/>
  <c r="AG21" i="14"/>
  <c r="AG23" i="14"/>
  <c r="AG24" i="14"/>
  <c r="AG25" i="14"/>
  <c r="AG28" i="14"/>
  <c r="AG30" i="14"/>
  <c r="AG37" i="14"/>
  <c r="AH8" i="14"/>
  <c r="AH12" i="14"/>
  <c r="AH6" i="14"/>
  <c r="AH21" i="14"/>
  <c r="AH23" i="14"/>
  <c r="AH24" i="14"/>
  <c r="AH25" i="14"/>
  <c r="AH28" i="14"/>
  <c r="AH30" i="14"/>
  <c r="AH37" i="14"/>
  <c r="AI8" i="14"/>
  <c r="AI12" i="14"/>
  <c r="AI6" i="14"/>
  <c r="AI21" i="14"/>
  <c r="AI23" i="14"/>
  <c r="AI24" i="14"/>
  <c r="AI25" i="14"/>
  <c r="AI28" i="14"/>
  <c r="AI30" i="14"/>
  <c r="AI37" i="14"/>
  <c r="AJ8" i="14"/>
  <c r="AJ12" i="14"/>
  <c r="AJ6" i="14"/>
  <c r="AJ21" i="14"/>
  <c r="AJ23" i="14"/>
  <c r="AJ24" i="14"/>
  <c r="AJ25" i="14"/>
  <c r="AJ28" i="14"/>
  <c r="AJ30" i="14"/>
  <c r="AJ37" i="14"/>
  <c r="AK8" i="14"/>
  <c r="AK12" i="14"/>
  <c r="AK6" i="14"/>
  <c r="AK21" i="14"/>
  <c r="AK23" i="14"/>
  <c r="AK24" i="14"/>
  <c r="AK25" i="14"/>
  <c r="AK28" i="14"/>
  <c r="AK30" i="14"/>
  <c r="AK37" i="14"/>
  <c r="AL8" i="14"/>
  <c r="AL12" i="14"/>
  <c r="AL6" i="14"/>
  <c r="AL21" i="14"/>
  <c r="AL23" i="14"/>
  <c r="AL24" i="14"/>
  <c r="AL25" i="14"/>
  <c r="AL28" i="14"/>
  <c r="AL30" i="14"/>
  <c r="AL37" i="14"/>
  <c r="AM8" i="14"/>
  <c r="AM12" i="14"/>
  <c r="AM6" i="14"/>
  <c r="AM21" i="14"/>
  <c r="AM23" i="14"/>
  <c r="AM24" i="14"/>
  <c r="AM25" i="14"/>
  <c r="AM28" i="14"/>
  <c r="AM30" i="14"/>
  <c r="AM37" i="14"/>
  <c r="AN8" i="14"/>
  <c r="AN12" i="14"/>
  <c r="AN6" i="14"/>
  <c r="AN21" i="14"/>
  <c r="AN23" i="14"/>
  <c r="AN24" i="14"/>
  <c r="AN25" i="14"/>
  <c r="AN28" i="14"/>
  <c r="AN30" i="14"/>
  <c r="AN34" i="14"/>
  <c r="AN37" i="14"/>
  <c r="AO8" i="14"/>
  <c r="AO12" i="14"/>
  <c r="AO6" i="14"/>
  <c r="AO21" i="14"/>
  <c r="AO23" i="14"/>
  <c r="AO24" i="14"/>
  <c r="AO25" i="14"/>
  <c r="AO28" i="14"/>
  <c r="AO30" i="14"/>
  <c r="AO37" i="14"/>
  <c r="AP8" i="14"/>
  <c r="AP12" i="14"/>
  <c r="AP6" i="14"/>
  <c r="AP21" i="14"/>
  <c r="AP23" i="14"/>
  <c r="AP24" i="14"/>
  <c r="AP25" i="14"/>
  <c r="AP28" i="14"/>
  <c r="AP30" i="14"/>
  <c r="AP37" i="14"/>
  <c r="AQ8" i="14"/>
  <c r="AQ12" i="14"/>
  <c r="AQ6" i="14"/>
  <c r="AQ21" i="14"/>
  <c r="AQ23" i="14"/>
  <c r="AQ24" i="14"/>
  <c r="AQ25" i="14"/>
  <c r="AQ28" i="14"/>
  <c r="AQ30" i="14"/>
  <c r="AQ37" i="14"/>
  <c r="AR8" i="14"/>
  <c r="AR12" i="14"/>
  <c r="AR6" i="14"/>
  <c r="AR21" i="14"/>
  <c r="AR23" i="14"/>
  <c r="AR24" i="14"/>
  <c r="AR25" i="14"/>
  <c r="AR28" i="14"/>
  <c r="AR30" i="14"/>
  <c r="AR37" i="14"/>
  <c r="AS8" i="14"/>
  <c r="AS12" i="14"/>
  <c r="AS6" i="14"/>
  <c r="AS21" i="14"/>
  <c r="AS23" i="14"/>
  <c r="AS24" i="14"/>
  <c r="AS25" i="14"/>
  <c r="AS28" i="14"/>
  <c r="AS30" i="14"/>
  <c r="AS37" i="14"/>
  <c r="AT8" i="14"/>
  <c r="AT12" i="14"/>
  <c r="AT6" i="14"/>
  <c r="AT21" i="14"/>
  <c r="AT23" i="14"/>
  <c r="AT24" i="14"/>
  <c r="AT25" i="14"/>
  <c r="AT28" i="14"/>
  <c r="AT30" i="14"/>
  <c r="AT37" i="14"/>
  <c r="AU8" i="14"/>
  <c r="AU12" i="14"/>
  <c r="AU6" i="14"/>
  <c r="AU21" i="14"/>
  <c r="AU23" i="14"/>
  <c r="AU24" i="14"/>
  <c r="AU25" i="14"/>
  <c r="AU28" i="14"/>
  <c r="AU30" i="14"/>
  <c r="AU37" i="14"/>
  <c r="AV8" i="14"/>
  <c r="AV12" i="14"/>
  <c r="AV6" i="14"/>
  <c r="AV21" i="14"/>
  <c r="AV23" i="14"/>
  <c r="AV24" i="14"/>
  <c r="AV25" i="14"/>
  <c r="AV28" i="14"/>
  <c r="AV30" i="14"/>
  <c r="AV37" i="14"/>
  <c r="AW8" i="14"/>
  <c r="AW12" i="14"/>
  <c r="AW6" i="14"/>
  <c r="AW21" i="14"/>
  <c r="AW23" i="14"/>
  <c r="AW24" i="14"/>
  <c r="AW25" i="14"/>
  <c r="AW28" i="14"/>
  <c r="AW30" i="14"/>
  <c r="AW37" i="14"/>
  <c r="AX8" i="14"/>
  <c r="AX12" i="14"/>
  <c r="AX6" i="14"/>
  <c r="AX21" i="14"/>
  <c r="AX23" i="14"/>
  <c r="AX24" i="14"/>
  <c r="AX25" i="14"/>
  <c r="AX28" i="14"/>
  <c r="AX30" i="14"/>
  <c r="AX37" i="14"/>
  <c r="AY8" i="14"/>
  <c r="AY12" i="14"/>
  <c r="AY6" i="14"/>
  <c r="AY21" i="14"/>
  <c r="AY23" i="14"/>
  <c r="AY24" i="14"/>
  <c r="AY25" i="14"/>
  <c r="AY28" i="14"/>
  <c r="AY30" i="14"/>
  <c r="AY37" i="14"/>
  <c r="AZ23" i="14"/>
  <c r="AZ9" i="14"/>
  <c r="AZ13" i="14"/>
  <c r="AZ6" i="14"/>
  <c r="AZ21" i="14"/>
  <c r="AZ24" i="14"/>
  <c r="AZ25" i="14"/>
  <c r="AZ28" i="14"/>
  <c r="AZ30" i="14"/>
  <c r="AZ34" i="14"/>
  <c r="AZ37" i="14"/>
  <c r="BA23" i="14"/>
  <c r="BA9" i="14"/>
  <c r="BA13" i="14"/>
  <c r="BA6" i="14"/>
  <c r="BA21" i="14"/>
  <c r="BA24" i="14"/>
  <c r="BA25" i="14"/>
  <c r="BA28" i="14"/>
  <c r="BA30" i="14"/>
  <c r="BA37" i="14"/>
  <c r="BB23" i="14"/>
  <c r="BB9" i="14"/>
  <c r="BB13" i="14"/>
  <c r="BB6" i="14"/>
  <c r="BB21" i="14"/>
  <c r="BB24" i="14"/>
  <c r="BB25" i="14"/>
  <c r="BB28" i="14"/>
  <c r="BB30" i="14"/>
  <c r="BB37" i="14"/>
  <c r="BC9" i="14"/>
  <c r="BC13" i="14"/>
  <c r="BC6" i="14"/>
  <c r="BC21" i="14"/>
  <c r="BC23" i="14"/>
  <c r="BC24" i="14"/>
  <c r="BC25" i="14"/>
  <c r="BC28" i="14"/>
  <c r="BC30" i="14"/>
  <c r="BC37" i="14"/>
  <c r="BD9" i="14"/>
  <c r="BD13" i="14"/>
  <c r="BD6" i="14"/>
  <c r="BD21" i="14"/>
  <c r="BD23" i="14"/>
  <c r="BD24" i="14"/>
  <c r="BD25" i="14"/>
  <c r="BD28" i="14"/>
  <c r="BD30" i="14"/>
  <c r="BD37" i="14"/>
  <c r="BE9" i="14"/>
  <c r="BE13" i="14"/>
  <c r="BE6" i="14"/>
  <c r="BE21" i="14"/>
  <c r="BE23" i="14"/>
  <c r="BE24" i="14"/>
  <c r="BE25" i="14"/>
  <c r="BE28" i="14"/>
  <c r="BE30" i="14"/>
  <c r="BE37" i="14"/>
  <c r="BF9" i="14"/>
  <c r="BF13" i="14"/>
  <c r="BF6" i="14"/>
  <c r="BF21" i="14"/>
  <c r="BF23" i="14"/>
  <c r="BF24" i="14"/>
  <c r="BF25" i="14"/>
  <c r="BF28" i="14"/>
  <c r="BF30" i="14"/>
  <c r="BF37" i="14"/>
  <c r="BG9" i="14"/>
  <c r="BG13" i="14"/>
  <c r="BG6" i="14"/>
  <c r="BG21" i="14"/>
  <c r="BG23" i="14"/>
  <c r="BG24" i="14"/>
  <c r="BG25" i="14"/>
  <c r="BG28" i="14"/>
  <c r="BG30" i="14"/>
  <c r="BG37" i="14"/>
  <c r="BH9" i="14"/>
  <c r="BH13" i="14"/>
  <c r="BH6" i="14"/>
  <c r="BH21" i="14"/>
  <c r="BH23" i="14"/>
  <c r="BH24" i="14"/>
  <c r="BH25" i="14"/>
  <c r="BH28" i="14"/>
  <c r="BH30" i="14"/>
  <c r="BH37" i="14"/>
  <c r="BI9" i="14"/>
  <c r="BI13" i="14"/>
  <c r="BI6" i="14"/>
  <c r="BI21" i="14"/>
  <c r="BI23" i="14"/>
  <c r="BI24" i="14"/>
  <c r="BI25" i="14"/>
  <c r="BI28" i="14"/>
  <c r="BI30" i="14"/>
  <c r="BI37" i="14"/>
  <c r="BJ9" i="14"/>
  <c r="BJ13" i="14"/>
  <c r="BJ6" i="14"/>
  <c r="BJ21" i="14"/>
  <c r="BJ23" i="14"/>
  <c r="BJ24" i="14"/>
  <c r="BJ25" i="14"/>
  <c r="BJ28" i="14"/>
  <c r="BJ30" i="14"/>
  <c r="BJ37" i="14"/>
  <c r="BK9" i="14"/>
  <c r="BK13" i="14"/>
  <c r="BK6" i="14"/>
  <c r="BK21" i="14"/>
  <c r="BK23" i="14"/>
  <c r="BK24" i="14"/>
  <c r="BK25" i="14"/>
  <c r="BK28" i="14"/>
  <c r="BK30" i="14"/>
  <c r="BK37" i="14"/>
  <c r="BL9" i="14"/>
  <c r="BL13" i="14"/>
  <c r="BL6" i="14"/>
  <c r="BL21" i="14"/>
  <c r="BL23" i="14"/>
  <c r="BL24" i="14"/>
  <c r="BL25" i="14"/>
  <c r="BL28" i="14"/>
  <c r="BL30" i="14"/>
  <c r="BL34" i="14"/>
  <c r="BL37" i="14"/>
  <c r="BM9" i="14"/>
  <c r="BM13" i="14"/>
  <c r="BM6" i="14"/>
  <c r="BM21" i="14"/>
  <c r="BM23" i="14"/>
  <c r="BM24" i="14"/>
  <c r="BM25" i="14"/>
  <c r="BM28" i="14"/>
  <c r="BM30" i="14"/>
  <c r="BM37" i="14"/>
  <c r="BN9" i="14"/>
  <c r="BN13" i="14"/>
  <c r="BN6" i="14"/>
  <c r="BN21" i="14"/>
  <c r="BN23" i="14"/>
  <c r="BN24" i="14"/>
  <c r="BN25" i="14"/>
  <c r="BN28" i="14"/>
  <c r="BN30" i="14"/>
  <c r="BN37" i="14"/>
  <c r="BO9" i="14"/>
  <c r="BO13" i="14"/>
  <c r="BO6" i="14"/>
  <c r="BO21" i="14"/>
  <c r="BO23" i="14"/>
  <c r="BO24" i="14"/>
  <c r="BO25" i="14"/>
  <c r="BO28" i="14"/>
  <c r="BO30" i="14"/>
  <c r="BO37" i="14"/>
  <c r="BP9" i="14"/>
  <c r="BP13" i="14"/>
  <c r="BP6" i="14"/>
  <c r="BP21" i="14"/>
  <c r="BP23" i="14"/>
  <c r="BP24" i="14"/>
  <c r="BP25" i="14"/>
  <c r="BP28" i="14"/>
  <c r="BP30" i="14"/>
  <c r="BP37" i="14"/>
  <c r="BQ9" i="14"/>
  <c r="BQ13" i="14"/>
  <c r="BQ6" i="14"/>
  <c r="BQ21" i="14"/>
  <c r="BQ23" i="14"/>
  <c r="BQ24" i="14"/>
  <c r="BQ25" i="14"/>
  <c r="BQ28" i="14"/>
  <c r="BQ30" i="14"/>
  <c r="BQ37" i="14"/>
  <c r="BR9" i="14"/>
  <c r="BR13" i="14"/>
  <c r="BR6" i="14"/>
  <c r="BR21" i="14"/>
  <c r="BR23" i="14"/>
  <c r="BR24" i="14"/>
  <c r="BR25" i="14"/>
  <c r="BR28" i="14"/>
  <c r="BR30" i="14"/>
  <c r="BR37" i="14"/>
  <c r="BS9" i="14"/>
  <c r="BS13" i="14"/>
  <c r="BS6" i="14"/>
  <c r="BS21" i="14"/>
  <c r="BS23" i="14"/>
  <c r="BS24" i="14"/>
  <c r="BS25" i="14"/>
  <c r="BS28" i="14"/>
  <c r="BS30" i="14"/>
  <c r="BS37" i="14"/>
  <c r="BT9" i="14"/>
  <c r="BT13" i="14"/>
  <c r="BT6" i="14"/>
  <c r="BT21" i="14"/>
  <c r="BT23" i="14"/>
  <c r="BT24" i="14"/>
  <c r="BT25" i="14"/>
  <c r="BT28" i="14"/>
  <c r="BT30" i="14"/>
  <c r="BT37" i="14"/>
  <c r="BU9" i="14"/>
  <c r="BU13" i="14"/>
  <c r="BU6" i="14"/>
  <c r="BU21" i="14"/>
  <c r="BU23" i="14"/>
  <c r="BU24" i="14"/>
  <c r="BU25" i="14"/>
  <c r="BU28" i="14"/>
  <c r="BU30" i="14"/>
  <c r="BU37" i="14"/>
  <c r="BV9" i="14"/>
  <c r="BV13" i="14"/>
  <c r="BV6" i="14"/>
  <c r="BV21" i="14"/>
  <c r="BV23" i="14"/>
  <c r="BV24" i="14"/>
  <c r="BV25" i="14"/>
  <c r="BV28" i="14"/>
  <c r="BV30" i="14"/>
  <c r="BV37" i="14"/>
  <c r="BW9" i="14"/>
  <c r="BW13" i="14"/>
  <c r="BW6" i="14"/>
  <c r="BW21" i="14"/>
  <c r="BW23" i="14"/>
  <c r="BW24" i="14"/>
  <c r="BW25" i="14"/>
  <c r="BW28" i="14"/>
  <c r="BW30" i="14"/>
  <c r="BW37" i="14"/>
  <c r="BX23" i="14"/>
  <c r="BX10" i="14"/>
  <c r="BX14" i="14"/>
  <c r="BX6" i="14"/>
  <c r="BX21" i="14"/>
  <c r="BX24" i="14"/>
  <c r="BX25" i="14"/>
  <c r="BX28" i="14"/>
  <c r="BX30" i="14"/>
  <c r="BX37" i="14"/>
  <c r="BY23" i="14"/>
  <c r="BY10" i="14"/>
  <c r="BY14" i="14"/>
  <c r="BY6" i="14"/>
  <c r="BY21" i="14"/>
  <c r="BY24" i="14"/>
  <c r="BY25" i="14"/>
  <c r="BY28" i="14"/>
  <c r="BY30" i="14"/>
  <c r="BY37" i="14"/>
  <c r="BZ23" i="14"/>
  <c r="BZ10" i="14"/>
  <c r="BZ14" i="14"/>
  <c r="BZ6" i="14"/>
  <c r="BZ21" i="14"/>
  <c r="BZ24" i="14"/>
  <c r="BZ25" i="14"/>
  <c r="BZ28" i="14"/>
  <c r="BZ30" i="14"/>
  <c r="BZ37" i="14"/>
  <c r="CA10" i="14"/>
  <c r="CA14" i="14"/>
  <c r="CA6" i="14"/>
  <c r="CA21" i="14"/>
  <c r="CA23" i="14"/>
  <c r="CA24" i="14"/>
  <c r="CA25" i="14"/>
  <c r="CA28" i="14"/>
  <c r="CA30" i="14"/>
  <c r="CA37" i="14"/>
  <c r="CB10" i="14"/>
  <c r="CB14" i="14"/>
  <c r="CB6" i="14"/>
  <c r="CB21" i="14"/>
  <c r="CB23" i="14"/>
  <c r="CB24" i="14"/>
  <c r="CB25" i="14"/>
  <c r="CB28" i="14"/>
  <c r="CB30" i="14"/>
  <c r="CB37" i="14"/>
  <c r="CC10" i="14"/>
  <c r="CC14" i="14"/>
  <c r="CC6" i="14"/>
  <c r="CC21" i="14"/>
  <c r="CC23" i="14"/>
  <c r="CC24" i="14"/>
  <c r="CC25" i="14"/>
  <c r="CC28" i="14"/>
  <c r="CC30" i="14"/>
  <c r="CC37" i="14"/>
  <c r="CD10" i="14"/>
  <c r="CD14" i="14"/>
  <c r="CD6" i="14"/>
  <c r="CD21" i="14"/>
  <c r="CD23" i="14"/>
  <c r="CD24" i="14"/>
  <c r="CD25" i="14"/>
  <c r="CD28" i="14"/>
  <c r="CD30" i="14"/>
  <c r="CD37" i="14"/>
  <c r="CE10" i="14"/>
  <c r="CE14" i="14"/>
  <c r="CE6" i="14"/>
  <c r="CE21" i="14"/>
  <c r="CE23" i="14"/>
  <c r="CE24" i="14"/>
  <c r="CE25" i="14"/>
  <c r="CE28" i="14"/>
  <c r="CE30" i="14"/>
  <c r="CE37" i="14"/>
  <c r="CF10" i="14"/>
  <c r="CF14" i="14"/>
  <c r="CF6" i="14"/>
  <c r="CF21" i="14"/>
  <c r="CF23" i="14"/>
  <c r="CF24" i="14"/>
  <c r="CF25" i="14"/>
  <c r="CF28" i="14"/>
  <c r="CF30" i="14"/>
  <c r="CF37" i="14"/>
  <c r="CG10" i="14"/>
  <c r="CG14" i="14"/>
  <c r="CG6" i="14"/>
  <c r="CG21" i="14"/>
  <c r="CG23" i="14"/>
  <c r="CG24" i="14"/>
  <c r="CG25" i="14"/>
  <c r="CG28" i="14"/>
  <c r="CG30" i="14"/>
  <c r="CG37" i="14"/>
  <c r="CH10" i="14"/>
  <c r="CH14" i="14"/>
  <c r="CH6" i="14"/>
  <c r="CH21" i="14"/>
  <c r="CH23" i="14"/>
  <c r="CH24" i="14"/>
  <c r="CH25" i="14"/>
  <c r="CH28" i="14"/>
  <c r="CH30" i="14"/>
  <c r="CH37" i="14"/>
  <c r="CI10" i="14"/>
  <c r="CI14" i="14"/>
  <c r="CI6" i="14"/>
  <c r="CI21" i="14"/>
  <c r="CI23" i="14"/>
  <c r="CI24" i="14"/>
  <c r="CI25" i="14"/>
  <c r="CI28" i="14"/>
  <c r="CI30" i="14"/>
  <c r="CI37" i="14"/>
  <c r="CJ10" i="14"/>
  <c r="CJ14" i="14"/>
  <c r="CJ6" i="14"/>
  <c r="CJ21" i="14"/>
  <c r="CJ23" i="14"/>
  <c r="CJ24" i="14"/>
  <c r="CJ25" i="14"/>
  <c r="CJ28" i="14"/>
  <c r="CJ30" i="14"/>
  <c r="CJ37" i="14"/>
  <c r="CK10" i="14"/>
  <c r="CK14" i="14"/>
  <c r="CK6" i="14"/>
  <c r="CK21" i="14"/>
  <c r="CK23" i="14"/>
  <c r="CK24" i="14"/>
  <c r="CK25" i="14"/>
  <c r="CK28" i="14"/>
  <c r="CK30" i="14"/>
  <c r="CK37" i="14"/>
  <c r="CL10" i="14"/>
  <c r="CL14" i="14"/>
  <c r="CL6" i="14"/>
  <c r="CL21" i="14"/>
  <c r="CL23" i="14"/>
  <c r="CL24" i="14"/>
  <c r="CL25" i="14"/>
  <c r="CL28" i="14"/>
  <c r="CL30" i="14"/>
  <c r="CL37" i="14"/>
  <c r="CM10" i="14"/>
  <c r="CM14" i="14"/>
  <c r="CM6" i="14"/>
  <c r="CM21" i="14"/>
  <c r="CM23" i="14"/>
  <c r="CM24" i="14"/>
  <c r="CM25" i="14"/>
  <c r="CM28" i="14"/>
  <c r="CM30" i="14"/>
  <c r="CM37" i="14"/>
  <c r="CN10" i="14"/>
  <c r="CN14" i="14"/>
  <c r="CN6" i="14"/>
  <c r="CN21" i="14"/>
  <c r="CN23" i="14"/>
  <c r="CN24" i="14"/>
  <c r="CN25" i="14"/>
  <c r="CN28" i="14"/>
  <c r="CN30" i="14"/>
  <c r="CN37" i="14"/>
  <c r="CO10" i="14"/>
  <c r="CO14" i="14"/>
  <c r="CO6" i="14"/>
  <c r="CO21" i="14"/>
  <c r="CO23" i="14"/>
  <c r="CO24" i="14"/>
  <c r="CO25" i="14"/>
  <c r="CO28" i="14"/>
  <c r="CO30" i="14"/>
  <c r="CO37" i="14"/>
  <c r="CP10" i="14"/>
  <c r="CP14" i="14"/>
  <c r="CP6" i="14"/>
  <c r="CP21" i="14"/>
  <c r="CP23" i="14"/>
  <c r="CP24" i="14"/>
  <c r="CP25" i="14"/>
  <c r="CP28" i="14"/>
  <c r="CP30" i="14"/>
  <c r="CP37" i="14"/>
  <c r="CQ10" i="14"/>
  <c r="CQ14" i="14"/>
  <c r="CQ6" i="14"/>
  <c r="CQ21" i="14"/>
  <c r="CQ23" i="14"/>
  <c r="CQ24" i="14"/>
  <c r="CQ25" i="14"/>
  <c r="CQ28" i="14"/>
  <c r="CQ30" i="14"/>
  <c r="CQ37" i="14"/>
  <c r="CR10" i="14"/>
  <c r="CR14" i="14"/>
  <c r="CR6" i="14"/>
  <c r="CR21" i="14"/>
  <c r="CR23" i="14"/>
  <c r="CR24" i="14"/>
  <c r="CR25" i="14"/>
  <c r="CR28" i="14"/>
  <c r="CR30" i="14"/>
  <c r="CR37" i="14"/>
  <c r="CS10" i="14"/>
  <c r="CS14" i="14"/>
  <c r="CS6" i="14"/>
  <c r="CS21" i="14"/>
  <c r="CS23" i="14"/>
  <c r="CS24" i="14"/>
  <c r="CS25" i="14"/>
  <c r="CS28" i="14"/>
  <c r="CS30" i="14"/>
  <c r="CS37" i="14"/>
  <c r="CT10" i="14"/>
  <c r="CT14" i="14"/>
  <c r="CT6" i="14"/>
  <c r="CT21" i="14"/>
  <c r="CT23" i="14"/>
  <c r="CT24" i="14"/>
  <c r="CT25" i="14"/>
  <c r="CT28" i="14"/>
  <c r="CT30" i="14"/>
  <c r="CT37" i="14"/>
  <c r="CU10" i="14"/>
  <c r="CU14" i="14"/>
  <c r="CU6" i="14"/>
  <c r="CU21" i="14"/>
  <c r="CU23" i="14"/>
  <c r="CU24" i="14"/>
  <c r="CU25" i="14"/>
  <c r="CU28" i="14"/>
  <c r="CU30" i="14"/>
  <c r="CU37" i="14"/>
  <c r="D6" i="14"/>
  <c r="D21" i="14"/>
  <c r="D23" i="14"/>
  <c r="D24" i="14"/>
  <c r="D25" i="14"/>
  <c r="D28" i="14"/>
  <c r="D30" i="14"/>
  <c r="D37" i="14"/>
  <c r="E6" i="14"/>
  <c r="E21" i="14"/>
  <c r="E23" i="14"/>
  <c r="E24" i="14"/>
  <c r="E25" i="14"/>
  <c r="E28" i="14"/>
  <c r="E30" i="14"/>
  <c r="E37" i="14"/>
  <c r="C45" i="14"/>
  <c r="C47" i="14"/>
  <c r="D50" i="14"/>
  <c r="D49" i="14"/>
  <c r="D45" i="14"/>
  <c r="D47" i="14"/>
  <c r="E50" i="14"/>
  <c r="E49" i="14"/>
  <c r="E45" i="14"/>
  <c r="E47" i="14"/>
  <c r="F50" i="14"/>
  <c r="F49" i="14"/>
  <c r="F57" i="14"/>
  <c r="F55" i="14"/>
  <c r="C25" i="14"/>
  <c r="C28" i="14"/>
  <c r="C30" i="14"/>
  <c r="C34" i="14"/>
  <c r="C37" i="14"/>
  <c r="C52" i="14"/>
  <c r="J44" i="14"/>
  <c r="K44" i="14"/>
  <c r="M44" i="14"/>
  <c r="N44" i="14"/>
  <c r="O44" i="14"/>
  <c r="P44" i="14"/>
  <c r="Q44" i="14"/>
  <c r="R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T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H44" i="14"/>
  <c r="BI44" i="14"/>
  <c r="BJ44" i="14"/>
  <c r="BK44" i="14"/>
  <c r="BL44" i="14"/>
  <c r="BN44" i="14"/>
  <c r="BO44" i="14"/>
  <c r="BP44" i="14"/>
  <c r="BQ44" i="14"/>
  <c r="BR44" i="14"/>
  <c r="BT44" i="14"/>
  <c r="BU44" i="14"/>
  <c r="BV44" i="14"/>
  <c r="BX44" i="14"/>
  <c r="BY44" i="14"/>
  <c r="BZ44" i="14"/>
  <c r="CA44" i="14"/>
  <c r="CC44" i="14"/>
  <c r="CD44" i="14"/>
  <c r="CF44" i="14"/>
  <c r="CG44" i="14"/>
  <c r="CI44" i="14"/>
  <c r="CJ44" i="14"/>
  <c r="CL44" i="14"/>
  <c r="CM44" i="14"/>
  <c r="CN44" i="14"/>
  <c r="CP44" i="14"/>
  <c r="CQ44" i="14"/>
  <c r="CR44" i="14"/>
  <c r="CT44" i="14"/>
  <c r="CU44" i="14"/>
  <c r="CU45" i="14"/>
  <c r="CV36" i="14"/>
  <c r="CV35" i="14"/>
  <c r="CV33" i="14"/>
  <c r="CV32" i="14"/>
  <c r="CV31" i="14"/>
  <c r="CV29" i="14"/>
  <c r="CV27" i="14"/>
  <c r="CV26" i="14"/>
  <c r="Y46" i="8"/>
  <c r="F42" i="13"/>
  <c r="F43" i="13"/>
  <c r="C41" i="13"/>
  <c r="C28" i="13"/>
  <c r="AJ12" i="13"/>
  <c r="A20" i="13"/>
  <c r="A17" i="13"/>
  <c r="AK5" i="13"/>
  <c r="AJ18" i="13"/>
  <c r="AJ19" i="13"/>
  <c r="AJ16" i="13"/>
  <c r="D5" i="12"/>
  <c r="F5" i="12"/>
  <c r="H5" i="12"/>
  <c r="H4" i="12"/>
  <c r="F4" i="12"/>
  <c r="D4" i="12"/>
  <c r="D6" i="12"/>
  <c r="B4" i="12"/>
  <c r="B6" i="12"/>
  <c r="H6" i="12"/>
  <c r="I6" i="12"/>
  <c r="F6" i="12"/>
  <c r="I4" i="12"/>
  <c r="A60" i="6"/>
  <c r="A57" i="6"/>
  <c r="F16" i="8"/>
  <c r="B14" i="6"/>
  <c r="E11" i="6"/>
  <c r="B15" i="6"/>
  <c r="K18" i="8"/>
  <c r="K17" i="8"/>
  <c r="E41" i="8"/>
  <c r="C29" i="8"/>
  <c r="D29" i="8"/>
  <c r="D9" i="8"/>
  <c r="E40" i="8"/>
  <c r="D28" i="8"/>
  <c r="L17" i="8"/>
  <c r="AI15" i="13"/>
  <c r="AA15" i="13"/>
  <c r="S15" i="13"/>
  <c r="K15" i="13"/>
  <c r="AH15" i="13"/>
  <c r="Z15" i="13"/>
  <c r="R15" i="13"/>
  <c r="J15" i="13"/>
  <c r="Q15" i="13"/>
  <c r="H15" i="13"/>
  <c r="W15" i="13"/>
  <c r="G15" i="13"/>
  <c r="V15" i="13"/>
  <c r="F15" i="13"/>
  <c r="U15" i="13"/>
  <c r="D15" i="13"/>
  <c r="AB15" i="13"/>
  <c r="AG15" i="13"/>
  <c r="Y15" i="13"/>
  <c r="I15" i="13"/>
  <c r="AE15" i="13"/>
  <c r="O15" i="13"/>
  <c r="AD15" i="13"/>
  <c r="N15" i="13"/>
  <c r="AC15" i="13"/>
  <c r="E15" i="13"/>
  <c r="L15" i="13"/>
  <c r="AF15" i="13"/>
  <c r="X15" i="13"/>
  <c r="P15" i="13"/>
  <c r="M15" i="13"/>
  <c r="T15" i="13"/>
  <c r="I51" i="6"/>
  <c r="J51" i="6"/>
  <c r="G51" i="6"/>
  <c r="K51" i="6"/>
  <c r="H51" i="6"/>
  <c r="AI14" i="13"/>
  <c r="AE14" i="13"/>
  <c r="AA14" i="13"/>
  <c r="W14" i="13"/>
  <c r="S14" i="13"/>
  <c r="AH14" i="13"/>
  <c r="AD14" i="13"/>
  <c r="Z14" i="13"/>
  <c r="V14" i="13"/>
  <c r="R14" i="13"/>
  <c r="N14" i="13"/>
  <c r="AB14" i="13"/>
  <c r="T14" i="13"/>
  <c r="M14" i="13"/>
  <c r="I14" i="13"/>
  <c r="E14" i="13"/>
  <c r="X14" i="13"/>
  <c r="P14" i="13"/>
  <c r="G14" i="13"/>
  <c r="AC14" i="13"/>
  <c r="J14" i="13"/>
  <c r="AG14" i="13"/>
  <c r="Y14" i="13"/>
  <c r="Q14" i="13"/>
  <c r="L14" i="13"/>
  <c r="H14" i="13"/>
  <c r="D14" i="13"/>
  <c r="AF14" i="13"/>
  <c r="K14" i="13"/>
  <c r="D54" i="6"/>
  <c r="U14" i="13"/>
  <c r="O14" i="13"/>
  <c r="F14" i="13"/>
  <c r="E51" i="6"/>
  <c r="AI11" i="13"/>
  <c r="AE11" i="13"/>
  <c r="AE6" i="13"/>
  <c r="AA11" i="13"/>
  <c r="W11" i="13"/>
  <c r="W6" i="13"/>
  <c r="S11" i="13"/>
  <c r="O11" i="13"/>
  <c r="O6" i="13"/>
  <c r="K11" i="13"/>
  <c r="G11" i="13"/>
  <c r="G6" i="13"/>
  <c r="D51" i="6"/>
  <c r="U11" i="13"/>
  <c r="I11" i="13"/>
  <c r="I6" i="13"/>
  <c r="X11" i="13"/>
  <c r="X6" i="13"/>
  <c r="L11" i="13"/>
  <c r="D11" i="13"/>
  <c r="AH11" i="13"/>
  <c r="AD11" i="13"/>
  <c r="Z11" i="13"/>
  <c r="V11" i="13"/>
  <c r="R11" i="13"/>
  <c r="N11" i="13"/>
  <c r="J11" i="13"/>
  <c r="F11" i="13"/>
  <c r="AG11" i="13"/>
  <c r="AG6" i="13"/>
  <c r="AC11" i="13"/>
  <c r="Y11" i="13"/>
  <c r="Y6" i="13"/>
  <c r="Q11" i="13"/>
  <c r="Q6" i="13"/>
  <c r="M11" i="13"/>
  <c r="E11" i="13"/>
  <c r="AF11" i="13"/>
  <c r="AF6" i="13"/>
  <c r="AB11" i="13"/>
  <c r="T11" i="13"/>
  <c r="P11" i="13"/>
  <c r="P6" i="13"/>
  <c r="H11" i="13"/>
  <c r="H6" i="13"/>
  <c r="F51" i="6"/>
  <c r="D30" i="8"/>
  <c r="D20" i="8"/>
  <c r="K55" i="6"/>
  <c r="J55" i="6"/>
  <c r="I55" i="6"/>
  <c r="H55" i="6"/>
  <c r="G55" i="6"/>
  <c r="F55" i="6"/>
  <c r="E55" i="6"/>
  <c r="D55" i="6"/>
  <c r="K54" i="6"/>
  <c r="J54" i="6"/>
  <c r="I54" i="6"/>
  <c r="H54" i="6"/>
  <c r="G54" i="6"/>
  <c r="F54" i="6"/>
  <c r="E54" i="6"/>
  <c r="CV11" i="14"/>
  <c r="M51" i="6"/>
  <c r="H17" i="13"/>
  <c r="H20" i="13"/>
  <c r="Y17" i="13"/>
  <c r="Y20" i="13"/>
  <c r="AK11" i="13"/>
  <c r="I17" i="13"/>
  <c r="I20" i="13"/>
  <c r="O17" i="13"/>
  <c r="O20" i="13"/>
  <c r="AE17" i="13"/>
  <c r="AE20" i="13"/>
  <c r="D31" i="8"/>
  <c r="D13" i="13"/>
  <c r="AH13" i="13"/>
  <c r="AH12" i="13"/>
  <c r="AD13" i="13"/>
  <c r="AD12" i="13"/>
  <c r="Z13" i="13"/>
  <c r="Z12" i="13"/>
  <c r="V13" i="13"/>
  <c r="V12" i="13"/>
  <c r="R13" i="13"/>
  <c r="R12" i="13"/>
  <c r="N13" i="13"/>
  <c r="N12" i="13"/>
  <c r="J13" i="13"/>
  <c r="J12" i="13"/>
  <c r="F13" i="13"/>
  <c r="F12" i="13"/>
  <c r="AF13" i="13"/>
  <c r="AF12" i="13"/>
  <c r="X13" i="13"/>
  <c r="X12" i="13"/>
  <c r="T13" i="13"/>
  <c r="T12" i="13"/>
  <c r="L13" i="13"/>
  <c r="L12" i="13"/>
  <c r="AA13" i="13"/>
  <c r="AA12" i="13"/>
  <c r="S13" i="13"/>
  <c r="S12" i="13"/>
  <c r="K13" i="13"/>
  <c r="K12" i="13"/>
  <c r="AG13" i="13"/>
  <c r="AG12" i="13"/>
  <c r="AC13" i="13"/>
  <c r="AC12" i="13"/>
  <c r="Y13" i="13"/>
  <c r="Y12" i="13"/>
  <c r="U13" i="13"/>
  <c r="U12" i="13"/>
  <c r="Q13" i="13"/>
  <c r="Q12" i="13"/>
  <c r="M13" i="13"/>
  <c r="M12" i="13"/>
  <c r="I13" i="13"/>
  <c r="I12" i="13"/>
  <c r="E13" i="13"/>
  <c r="E12" i="13"/>
  <c r="AB13" i="13"/>
  <c r="AB12" i="13"/>
  <c r="P13" i="13"/>
  <c r="P12" i="13"/>
  <c r="H13" i="13"/>
  <c r="AI13" i="13"/>
  <c r="AI12" i="13"/>
  <c r="AE13" i="13"/>
  <c r="AE12" i="13"/>
  <c r="W13" i="13"/>
  <c r="W12" i="13"/>
  <c r="O13" i="13"/>
  <c r="O12" i="13"/>
  <c r="G13" i="13"/>
  <c r="G12" i="13"/>
  <c r="L41" i="6"/>
  <c r="L44" i="6"/>
  <c r="L53" i="6"/>
  <c r="L52" i="6"/>
  <c r="L59" i="6"/>
  <c r="I37" i="6"/>
  <c r="I44" i="6"/>
  <c r="I53" i="6"/>
  <c r="K41" i="6"/>
  <c r="K44" i="6"/>
  <c r="K53" i="6"/>
  <c r="H37" i="6"/>
  <c r="F29" i="6"/>
  <c r="J41" i="6"/>
  <c r="H33" i="6"/>
  <c r="E29" i="6"/>
  <c r="E44" i="6"/>
  <c r="E53" i="6"/>
  <c r="J37" i="6"/>
  <c r="G33" i="6"/>
  <c r="G44" i="6"/>
  <c r="G53" i="6"/>
  <c r="D29" i="6"/>
  <c r="D44" i="6"/>
  <c r="D53" i="6"/>
  <c r="F33" i="6"/>
  <c r="AK14" i="13"/>
  <c r="P17" i="13"/>
  <c r="P20" i="13"/>
  <c r="AG17" i="13"/>
  <c r="AG20" i="13"/>
  <c r="X17" i="13"/>
  <c r="X20" i="13"/>
  <c r="G17" i="13"/>
  <c r="G20" i="13"/>
  <c r="W17" i="13"/>
  <c r="W20" i="13"/>
  <c r="AK15" i="13"/>
  <c r="AF17" i="13"/>
  <c r="AF20" i="13"/>
  <c r="Q17" i="13"/>
  <c r="Q20" i="13"/>
  <c r="M54" i="6"/>
  <c r="M55" i="6"/>
  <c r="L58" i="6"/>
  <c r="C21" i="8"/>
  <c r="D21" i="8"/>
  <c r="D22" i="8"/>
  <c r="D24" i="8"/>
  <c r="D70" i="6"/>
  <c r="F70" i="6"/>
  <c r="H70" i="6"/>
  <c r="J70" i="6"/>
  <c r="K70" i="6"/>
  <c r="I69" i="6"/>
  <c r="H69" i="6"/>
  <c r="G69" i="6"/>
  <c r="F69" i="6"/>
  <c r="E69" i="6"/>
  <c r="D69" i="6"/>
  <c r="CV19" i="14"/>
  <c r="J44" i="6"/>
  <c r="J53" i="6"/>
  <c r="F44" i="6"/>
  <c r="F53" i="6"/>
  <c r="CV18" i="14"/>
  <c r="CV12" i="14"/>
  <c r="AE16" i="13"/>
  <c r="AE19" i="13"/>
  <c r="AE18" i="13"/>
  <c r="Q16" i="13"/>
  <c r="Q18" i="13"/>
  <c r="Q19" i="13"/>
  <c r="L18" i="13"/>
  <c r="L19" i="13"/>
  <c r="L16" i="13"/>
  <c r="V18" i="13"/>
  <c r="V16" i="13"/>
  <c r="V19" i="13"/>
  <c r="G16" i="13"/>
  <c r="G21" i="13"/>
  <c r="G24" i="13"/>
  <c r="G26" i="13"/>
  <c r="G33" i="13"/>
  <c r="G38" i="13"/>
  <c r="G19" i="13"/>
  <c r="G18" i="13"/>
  <c r="E18" i="13"/>
  <c r="E19" i="13"/>
  <c r="E16" i="13"/>
  <c r="K16" i="13"/>
  <c r="K18" i="13"/>
  <c r="K19" i="13"/>
  <c r="J18" i="13"/>
  <c r="J16" i="13"/>
  <c r="J19" i="13"/>
  <c r="H44" i="6"/>
  <c r="H53" i="6"/>
  <c r="M53" i="6"/>
  <c r="O19" i="13"/>
  <c r="O16" i="13"/>
  <c r="O18" i="13"/>
  <c r="H12" i="13"/>
  <c r="I18" i="13"/>
  <c r="I16" i="13"/>
  <c r="I19" i="13"/>
  <c r="Y18" i="13"/>
  <c r="Y16" i="13"/>
  <c r="Y19" i="13"/>
  <c r="S16" i="13"/>
  <c r="S19" i="13"/>
  <c r="S18" i="13"/>
  <c r="X18" i="13"/>
  <c r="X19" i="13"/>
  <c r="X16" i="13"/>
  <c r="N18" i="13"/>
  <c r="N19" i="13"/>
  <c r="N16" i="13"/>
  <c r="AD16" i="13"/>
  <c r="AD18" i="13"/>
  <c r="AD19" i="13"/>
  <c r="AB16" i="13"/>
  <c r="AB19" i="13"/>
  <c r="AB18" i="13"/>
  <c r="AG18" i="13"/>
  <c r="AG19" i="13"/>
  <c r="AG16" i="13"/>
  <c r="F19" i="13"/>
  <c r="F18" i="13"/>
  <c r="F16" i="13"/>
  <c r="AK13" i="13"/>
  <c r="D12" i="13"/>
  <c r="AI16" i="13"/>
  <c r="AI19" i="13"/>
  <c r="AI18" i="13"/>
  <c r="U18" i="13"/>
  <c r="U19" i="13"/>
  <c r="U16" i="13"/>
  <c r="T18" i="13"/>
  <c r="T16" i="13"/>
  <c r="T19" i="13"/>
  <c r="Z16" i="13"/>
  <c r="Z19" i="13"/>
  <c r="Z18" i="13"/>
  <c r="C33" i="8"/>
  <c r="AH10" i="13"/>
  <c r="AH6" i="13"/>
  <c r="AB9" i="13"/>
  <c r="U9" i="13"/>
  <c r="U6" i="13"/>
  <c r="R8" i="13"/>
  <c r="R6" i="13"/>
  <c r="L7" i="13"/>
  <c r="E7" i="13"/>
  <c r="E6" i="13"/>
  <c r="AA9" i="13"/>
  <c r="AA6" i="13"/>
  <c r="N8" i="13"/>
  <c r="N6" i="13"/>
  <c r="D7" i="13"/>
  <c r="T8" i="13"/>
  <c r="AI10" i="13"/>
  <c r="AI6" i="13"/>
  <c r="AB10" i="13"/>
  <c r="S8" i="13"/>
  <c r="S6" i="13"/>
  <c r="L8" i="13"/>
  <c r="AD10" i="13"/>
  <c r="AD6" i="13"/>
  <c r="T9" i="13"/>
  <c r="K7" i="13"/>
  <c r="K6" i="13"/>
  <c r="AJ10" i="13"/>
  <c r="AJ6" i="13"/>
  <c r="AC10" i="13"/>
  <c r="AC6" i="13"/>
  <c r="Z9" i="13"/>
  <c r="Z6" i="13"/>
  <c r="M8" i="13"/>
  <c r="M6" i="13"/>
  <c r="J7" i="13"/>
  <c r="V9" i="13"/>
  <c r="V6" i="13"/>
  <c r="F7" i="13"/>
  <c r="F6" i="13"/>
  <c r="L40" i="6"/>
  <c r="L43" i="6"/>
  <c r="L50" i="6"/>
  <c r="L49" i="6"/>
  <c r="I36" i="6"/>
  <c r="I43" i="6"/>
  <c r="I50" i="6"/>
  <c r="F32" i="6"/>
  <c r="K40" i="6"/>
  <c r="K43" i="6"/>
  <c r="K50" i="6"/>
  <c r="H36" i="6"/>
  <c r="F28" i="6"/>
  <c r="J40" i="6"/>
  <c r="E28" i="6"/>
  <c r="E43" i="6"/>
  <c r="E50" i="6"/>
  <c r="D28" i="6"/>
  <c r="D43" i="6"/>
  <c r="D50" i="6"/>
  <c r="H32" i="6"/>
  <c r="J36" i="6"/>
  <c r="J43" i="6"/>
  <c r="J50" i="6"/>
  <c r="G32" i="6"/>
  <c r="G43" i="6"/>
  <c r="G50" i="6"/>
  <c r="W16" i="13"/>
  <c r="W19" i="13"/>
  <c r="W18" i="13"/>
  <c r="P18" i="13"/>
  <c r="P16" i="13"/>
  <c r="P19" i="13"/>
  <c r="M16" i="13"/>
  <c r="M19" i="13"/>
  <c r="M18" i="13"/>
  <c r="AC18" i="13"/>
  <c r="AC16" i="13"/>
  <c r="AC19" i="13"/>
  <c r="AA16" i="13"/>
  <c r="AA19" i="13"/>
  <c r="AA18" i="13"/>
  <c r="AF16" i="13"/>
  <c r="AF18" i="13"/>
  <c r="AF19" i="13"/>
  <c r="R19" i="13"/>
  <c r="R18" i="13"/>
  <c r="R16" i="13"/>
  <c r="AH16" i="13"/>
  <c r="AH18" i="13"/>
  <c r="AH19" i="13"/>
  <c r="D23" i="8"/>
  <c r="F52" i="6"/>
  <c r="C45" i="6"/>
  <c r="J52" i="6"/>
  <c r="K52" i="6"/>
  <c r="I52" i="6"/>
  <c r="E52" i="6"/>
  <c r="CV7" i="14"/>
  <c r="CV17" i="14"/>
  <c r="CV13" i="14"/>
  <c r="CV14" i="14"/>
  <c r="Q21" i="13"/>
  <c r="Q24" i="13"/>
  <c r="Q26" i="13"/>
  <c r="Q33" i="13"/>
  <c r="Q38" i="13"/>
  <c r="AE21" i="13"/>
  <c r="AE24" i="13"/>
  <c r="AE26" i="13"/>
  <c r="AE33" i="13"/>
  <c r="AE38" i="13"/>
  <c r="H52" i="6"/>
  <c r="H43" i="6"/>
  <c r="H50" i="6"/>
  <c r="AK8" i="13"/>
  <c r="T6" i="13"/>
  <c r="T20" i="13"/>
  <c r="AB6" i="13"/>
  <c r="AB20" i="13"/>
  <c r="AG21" i="13"/>
  <c r="AG24" i="13"/>
  <c r="AG26" i="13"/>
  <c r="AG33" i="13"/>
  <c r="AG38" i="13"/>
  <c r="Y21" i="13"/>
  <c r="Y24" i="13"/>
  <c r="Y26" i="13"/>
  <c r="Y33" i="13"/>
  <c r="Y38" i="13"/>
  <c r="I21" i="13"/>
  <c r="I24" i="13"/>
  <c r="I26" i="13"/>
  <c r="I33" i="13"/>
  <c r="I38" i="13"/>
  <c r="O21" i="13"/>
  <c r="O24" i="13"/>
  <c r="O26" i="13"/>
  <c r="O33" i="13"/>
  <c r="O38" i="13"/>
  <c r="P21" i="13"/>
  <c r="P24" i="13"/>
  <c r="P26" i="13"/>
  <c r="P33" i="13"/>
  <c r="P38" i="13"/>
  <c r="F43" i="6"/>
  <c r="F50" i="6"/>
  <c r="J6" i="13"/>
  <c r="E17" i="13"/>
  <c r="E20" i="13"/>
  <c r="E45" i="6"/>
  <c r="G45" i="6"/>
  <c r="C70" i="6"/>
  <c r="AF21" i="13"/>
  <c r="AF24" i="13"/>
  <c r="AF26" i="13"/>
  <c r="AF33" i="13"/>
  <c r="AF38" i="13"/>
  <c r="L57" i="6"/>
  <c r="L60" i="6"/>
  <c r="M17" i="13"/>
  <c r="M20" i="13"/>
  <c r="K17" i="13"/>
  <c r="K20" i="13"/>
  <c r="S17" i="13"/>
  <c r="S20" i="13"/>
  <c r="AK7" i="13"/>
  <c r="D6" i="13"/>
  <c r="L6" i="13"/>
  <c r="AH17" i="13"/>
  <c r="AH20" i="13"/>
  <c r="X21" i="13"/>
  <c r="X24" i="13"/>
  <c r="X26" i="13"/>
  <c r="X33" i="13"/>
  <c r="X38" i="13"/>
  <c r="AC17" i="13"/>
  <c r="AC20" i="13"/>
  <c r="AD17" i="13"/>
  <c r="AD21" i="13"/>
  <c r="AD24" i="13"/>
  <c r="AD26" i="13"/>
  <c r="AD33" i="13"/>
  <c r="AD38" i="13"/>
  <c r="AD20" i="13"/>
  <c r="AA17" i="13"/>
  <c r="AA20" i="13"/>
  <c r="AA21" i="13"/>
  <c r="AA24" i="13"/>
  <c r="AA26" i="13"/>
  <c r="D16" i="13"/>
  <c r="D19" i="13"/>
  <c r="AK12" i="13"/>
  <c r="D18" i="13"/>
  <c r="W21" i="13"/>
  <c r="W24" i="13"/>
  <c r="W26" i="13"/>
  <c r="W33" i="13"/>
  <c r="W38" i="13"/>
  <c r="AJ17" i="13"/>
  <c r="AJ20" i="13"/>
  <c r="T17" i="13"/>
  <c r="AB17" i="13"/>
  <c r="H18" i="13"/>
  <c r="H16" i="13"/>
  <c r="H19" i="13"/>
  <c r="F17" i="13"/>
  <c r="F20" i="13"/>
  <c r="Z20" i="13"/>
  <c r="Z17" i="13"/>
  <c r="AK9" i="13"/>
  <c r="AK10" i="13"/>
  <c r="N20" i="13"/>
  <c r="N17" i="13"/>
  <c r="N21" i="13"/>
  <c r="N24" i="13"/>
  <c r="N26" i="13"/>
  <c r="N33" i="13"/>
  <c r="N38" i="13"/>
  <c r="R20" i="13"/>
  <c r="R17" i="13"/>
  <c r="R21" i="13"/>
  <c r="R24" i="13"/>
  <c r="R26" i="13"/>
  <c r="R33" i="13"/>
  <c r="R38" i="13"/>
  <c r="U17" i="13"/>
  <c r="U20" i="13"/>
  <c r="V17" i="13"/>
  <c r="V21" i="13"/>
  <c r="V24" i="13"/>
  <c r="V26" i="13"/>
  <c r="V33" i="13"/>
  <c r="V38" i="13"/>
  <c r="V20" i="13"/>
  <c r="AI17" i="13"/>
  <c r="AI20" i="13"/>
  <c r="AI21" i="13"/>
  <c r="AI24" i="13"/>
  <c r="AI26" i="13"/>
  <c r="AI33" i="13"/>
  <c r="AI38" i="13"/>
  <c r="D52" i="6"/>
  <c r="K59" i="6"/>
  <c r="K58" i="6"/>
  <c r="K56" i="6"/>
  <c r="H59" i="6"/>
  <c r="H56" i="6"/>
  <c r="H58" i="6"/>
  <c r="F59" i="6"/>
  <c r="F58" i="6"/>
  <c r="F56" i="6"/>
  <c r="I59" i="6"/>
  <c r="I56" i="6"/>
  <c r="I58" i="6"/>
  <c r="E59" i="6"/>
  <c r="E56" i="6"/>
  <c r="E58" i="6"/>
  <c r="J59" i="6"/>
  <c r="J56" i="6"/>
  <c r="J58" i="6"/>
  <c r="G52" i="6"/>
  <c r="D7" i="11"/>
  <c r="CV34" i="14"/>
  <c r="AB21" i="13"/>
  <c r="AB24" i="13"/>
  <c r="AB26" i="13"/>
  <c r="AB33" i="13"/>
  <c r="AB38" i="13"/>
  <c r="CV23" i="14"/>
  <c r="CV8" i="14"/>
  <c r="Z21" i="13"/>
  <c r="Z24" i="13"/>
  <c r="Z26" i="13"/>
  <c r="Z33" i="13"/>
  <c r="Z38" i="13"/>
  <c r="AC21" i="13"/>
  <c r="AC24" i="13"/>
  <c r="AC26" i="13"/>
  <c r="AC33" i="13"/>
  <c r="AC38" i="13"/>
  <c r="CV22" i="14"/>
  <c r="H21" i="13"/>
  <c r="H24" i="13"/>
  <c r="H26" i="13"/>
  <c r="H33" i="13"/>
  <c r="H38" i="13"/>
  <c r="F21" i="13"/>
  <c r="F24" i="13"/>
  <c r="F26" i="13"/>
  <c r="F33" i="13"/>
  <c r="F38" i="13"/>
  <c r="T21" i="13"/>
  <c r="T24" i="13"/>
  <c r="T26" i="13"/>
  <c r="T33" i="13"/>
  <c r="T38" i="13"/>
  <c r="K21" i="13"/>
  <c r="K24" i="13"/>
  <c r="K26" i="13"/>
  <c r="L61" i="6"/>
  <c r="L64" i="6"/>
  <c r="L66" i="6"/>
  <c r="L73" i="6"/>
  <c r="L80" i="6"/>
  <c r="M50" i="6"/>
  <c r="AJ21" i="13"/>
  <c r="AJ24" i="13"/>
  <c r="AJ26" i="13"/>
  <c r="AJ33" i="13"/>
  <c r="AJ38" i="13"/>
  <c r="AH21" i="13"/>
  <c r="AH24" i="13"/>
  <c r="AH26" i="13"/>
  <c r="AH33" i="13"/>
  <c r="AH38" i="13"/>
  <c r="S21" i="13"/>
  <c r="S24" i="13"/>
  <c r="S26" i="13"/>
  <c r="I45" i="6"/>
  <c r="AK19" i="13"/>
  <c r="AK16" i="13"/>
  <c r="L17" i="13"/>
  <c r="L20" i="13"/>
  <c r="M21" i="13"/>
  <c r="M24" i="13"/>
  <c r="M26" i="13"/>
  <c r="M33" i="13"/>
  <c r="M38" i="13"/>
  <c r="L21" i="13"/>
  <c r="L24" i="13"/>
  <c r="L26" i="13"/>
  <c r="L33" i="13"/>
  <c r="L38" i="13"/>
  <c r="J17" i="13"/>
  <c r="J20" i="13"/>
  <c r="AK18" i="13"/>
  <c r="D20" i="13"/>
  <c r="AK6" i="13"/>
  <c r="D17" i="13"/>
  <c r="D56" i="6"/>
  <c r="D59" i="6"/>
  <c r="D58" i="6"/>
  <c r="U21" i="13"/>
  <c r="U24" i="13"/>
  <c r="U26" i="13"/>
  <c r="U33" i="13"/>
  <c r="U38" i="13"/>
  <c r="C30" i="13"/>
  <c r="C33" i="13"/>
  <c r="E21" i="13"/>
  <c r="E24" i="13"/>
  <c r="E26" i="13"/>
  <c r="E33" i="13"/>
  <c r="E38" i="13"/>
  <c r="M52" i="6"/>
  <c r="G59" i="6"/>
  <c r="G58" i="6"/>
  <c r="G56" i="6"/>
  <c r="C73" i="6"/>
  <c r="E70" i="6"/>
  <c r="CV20" i="14"/>
  <c r="D21" i="13"/>
  <c r="D24" i="13"/>
  <c r="CV9" i="14"/>
  <c r="J21" i="13"/>
  <c r="J24" i="13"/>
  <c r="J26" i="13"/>
  <c r="J33" i="13"/>
  <c r="J38" i="13"/>
  <c r="CT45" i="14"/>
  <c r="G70" i="6"/>
  <c r="K30" i="13"/>
  <c r="AK17" i="13"/>
  <c r="C35" i="13"/>
  <c r="C38" i="13"/>
  <c r="AK20" i="13"/>
  <c r="M58" i="6"/>
  <c r="C80" i="6"/>
  <c r="C75" i="6"/>
  <c r="M59" i="6"/>
  <c r="M56" i="6"/>
  <c r="K49" i="6"/>
  <c r="I49" i="6"/>
  <c r="G49" i="6"/>
  <c r="E49" i="6"/>
  <c r="J49" i="6"/>
  <c r="H49" i="6"/>
  <c r="F49" i="6"/>
  <c r="CR45" i="14"/>
  <c r="CS45" i="14"/>
  <c r="CP45" i="14"/>
  <c r="CO45" i="14"/>
  <c r="CQ45" i="14"/>
  <c r="CV10" i="14"/>
  <c r="AK21" i="13"/>
  <c r="D26" i="13"/>
  <c r="AK24" i="13"/>
  <c r="I70" i="6"/>
  <c r="AA30" i="13"/>
  <c r="S30" i="13"/>
  <c r="K33" i="13"/>
  <c r="K38" i="13"/>
  <c r="D49" i="6"/>
  <c r="E57" i="6"/>
  <c r="E60" i="6"/>
  <c r="I60" i="6"/>
  <c r="I57" i="6"/>
  <c r="F57" i="6"/>
  <c r="F60" i="6"/>
  <c r="G57" i="6"/>
  <c r="G60" i="6"/>
  <c r="H57" i="6"/>
  <c r="H60" i="6"/>
  <c r="J57" i="6"/>
  <c r="J60" i="6"/>
  <c r="K57" i="6"/>
  <c r="K60" i="6"/>
  <c r="CN45" i="14"/>
  <c r="CV24" i="14"/>
  <c r="CV21" i="14"/>
  <c r="CV6" i="14"/>
  <c r="AA33" i="13"/>
  <c r="AA38" i="13"/>
  <c r="S33" i="13"/>
  <c r="S38" i="13"/>
  <c r="M49" i="6"/>
  <c r="D57" i="6"/>
  <c r="D60" i="6"/>
  <c r="D33" i="13"/>
  <c r="AK26" i="13"/>
  <c r="AK33" i="13"/>
  <c r="E61" i="6"/>
  <c r="E64" i="6"/>
  <c r="E66" i="6"/>
  <c r="E73" i="6"/>
  <c r="E80" i="6"/>
  <c r="I61" i="6"/>
  <c r="I64" i="6"/>
  <c r="I66" i="6"/>
  <c r="I73" i="6"/>
  <c r="I80" i="6"/>
  <c r="F61" i="6"/>
  <c r="F64" i="6"/>
  <c r="F66" i="6"/>
  <c r="F73" i="6"/>
  <c r="F80" i="6"/>
  <c r="G61" i="6"/>
  <c r="G64" i="6"/>
  <c r="G66" i="6"/>
  <c r="G73" i="6"/>
  <c r="G80" i="6"/>
  <c r="J61" i="6"/>
  <c r="J64" i="6"/>
  <c r="J66" i="6"/>
  <c r="J73" i="6"/>
  <c r="J80" i="6"/>
  <c r="H61" i="6"/>
  <c r="H64" i="6"/>
  <c r="H66" i="6"/>
  <c r="H73" i="6"/>
  <c r="H80" i="6"/>
  <c r="K61" i="6"/>
  <c r="K64" i="6"/>
  <c r="K66" i="6"/>
  <c r="K73" i="6"/>
  <c r="K80" i="6"/>
  <c r="M8" i="1"/>
  <c r="O8" i="1"/>
  <c r="N8" i="1"/>
  <c r="M9" i="1"/>
  <c r="O9" i="1"/>
  <c r="N9" i="1"/>
  <c r="M10" i="1"/>
  <c r="O10" i="1"/>
  <c r="N10" i="1"/>
  <c r="M11" i="1"/>
  <c r="O11" i="1"/>
  <c r="N11" i="1"/>
  <c r="E12" i="1"/>
  <c r="G12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F5" i="1"/>
  <c r="F6" i="1"/>
  <c r="F7" i="1"/>
  <c r="F8" i="1"/>
  <c r="F9" i="1"/>
  <c r="F10" i="1"/>
  <c r="F11" i="1"/>
  <c r="F12" i="1"/>
  <c r="M5" i="1"/>
  <c r="O5" i="1"/>
  <c r="M6" i="1"/>
  <c r="O6" i="1"/>
  <c r="M7" i="1"/>
  <c r="O7" i="1"/>
  <c r="N5" i="1"/>
  <c r="N6" i="1"/>
  <c r="N7" i="1"/>
  <c r="CL45" i="14"/>
  <c r="CM45" i="14"/>
  <c r="CJ45" i="14"/>
  <c r="CI45" i="14"/>
  <c r="CH45" i="14"/>
  <c r="CK45" i="14"/>
  <c r="BX45" i="14"/>
  <c r="BY45" i="14"/>
  <c r="CF45" i="14"/>
  <c r="CC45" i="14"/>
  <c r="CD45" i="14"/>
  <c r="CA45" i="14"/>
  <c r="CG45" i="14"/>
  <c r="BZ45" i="14"/>
  <c r="CE45" i="14"/>
  <c r="CB45" i="14"/>
  <c r="F13" i="1"/>
  <c r="D61" i="6"/>
  <c r="M61" i="6"/>
  <c r="N12" i="1"/>
  <c r="D38" i="13"/>
  <c r="C42" i="13"/>
  <c r="C36" i="13"/>
  <c r="C43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O12" i="1"/>
  <c r="G13" i="1"/>
  <c r="C14" i="6"/>
  <c r="M60" i="6"/>
  <c r="M64" i="6"/>
  <c r="M57" i="6"/>
  <c r="CV25" i="14"/>
  <c r="CV28" i="14"/>
  <c r="C39" i="14"/>
  <c r="C15" i="6"/>
  <c r="D15" i="6"/>
  <c r="D14" i="6"/>
  <c r="D64" i="6"/>
  <c r="D66" i="6"/>
  <c r="D73" i="6"/>
  <c r="AA45" i="14"/>
  <c r="Z45" i="14"/>
  <c r="P45" i="14"/>
  <c r="T45" i="14"/>
  <c r="X45" i="14"/>
  <c r="J45" i="14"/>
  <c r="M45" i="14"/>
  <c r="L45" i="14"/>
  <c r="N45" i="14"/>
  <c r="W45" i="14"/>
  <c r="H45" i="14"/>
  <c r="S45" i="14"/>
  <c r="I45" i="14"/>
  <c r="R45" i="14"/>
  <c r="V45" i="14"/>
  <c r="Y45" i="14"/>
  <c r="K45" i="14"/>
  <c r="Q45" i="14"/>
  <c r="U45" i="14"/>
  <c r="O45" i="14"/>
  <c r="G45" i="14"/>
  <c r="BW45" i="14"/>
  <c r="AG45" i="14"/>
  <c r="BV45" i="14"/>
  <c r="BO45" i="14"/>
  <c r="AL45" i="14"/>
  <c r="BB45" i="14"/>
  <c r="AI45" i="14"/>
  <c r="AE45" i="14"/>
  <c r="AY45" i="14"/>
  <c r="BQ45" i="14"/>
  <c r="AF45" i="14"/>
  <c r="BA45" i="14"/>
  <c r="AW45" i="14"/>
  <c r="BT45" i="14"/>
  <c r="AX45" i="14"/>
  <c r="AD45" i="14"/>
  <c r="AV45" i="14"/>
  <c r="BC45" i="14"/>
  <c r="BM45" i="14"/>
  <c r="BR45" i="14"/>
  <c r="BH45" i="14"/>
  <c r="AN45" i="14"/>
  <c r="BK45" i="14"/>
  <c r="BF45" i="14"/>
  <c r="AU45" i="14"/>
  <c r="AK45" i="14"/>
  <c r="BD45" i="14"/>
  <c r="AM45" i="14"/>
  <c r="AQ45" i="14"/>
  <c r="AH45" i="14"/>
  <c r="AO45" i="14"/>
  <c r="BS45" i="14"/>
  <c r="AZ45" i="14"/>
  <c r="AP45" i="14"/>
  <c r="AB45" i="14"/>
  <c r="BG45" i="14"/>
  <c r="BP45" i="14"/>
  <c r="BI45" i="14"/>
  <c r="AR45" i="14"/>
  <c r="BU45" i="14"/>
  <c r="BE45" i="14"/>
  <c r="BN45" i="14"/>
  <c r="AT45" i="14"/>
  <c r="AC45" i="14"/>
  <c r="AJ45" i="14"/>
  <c r="BJ45" i="14"/>
  <c r="BL45" i="14"/>
  <c r="AS45" i="14"/>
  <c r="C53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D10" i="11"/>
  <c r="D8" i="11"/>
  <c r="CV30" i="14"/>
  <c r="C41" i="14"/>
  <c r="C78" i="6"/>
  <c r="D75" i="6"/>
  <c r="D16" i="6"/>
  <c r="D17" i="6"/>
  <c r="M66" i="6"/>
  <c r="C85" i="6"/>
  <c r="C87" i="6"/>
  <c r="G10" i="11"/>
  <c r="F10" i="11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BP39" i="14"/>
  <c r="BQ39" i="14"/>
  <c r="BR39" i="14"/>
  <c r="BS39" i="14"/>
  <c r="BT39" i="14"/>
  <c r="BU39" i="14"/>
  <c r="BV39" i="14"/>
  <c r="BW39" i="14"/>
  <c r="BX39" i="14"/>
  <c r="BY39" i="14"/>
  <c r="BZ39" i="14"/>
  <c r="CA39" i="14"/>
  <c r="CB39" i="14"/>
  <c r="CC39" i="14"/>
  <c r="CD39" i="14"/>
  <c r="CE39" i="14"/>
  <c r="CF39" i="14"/>
  <c r="CG39" i="14"/>
  <c r="CH39" i="14"/>
  <c r="CI39" i="14"/>
  <c r="CJ39" i="14"/>
  <c r="CK39" i="14"/>
  <c r="CL39" i="14"/>
  <c r="CM39" i="14"/>
  <c r="CN39" i="14"/>
  <c r="CO39" i="14"/>
  <c r="CP39" i="14"/>
  <c r="CQ39" i="14"/>
  <c r="CR39" i="14"/>
  <c r="CS39" i="14"/>
  <c r="CT39" i="14"/>
  <c r="CU39" i="14"/>
  <c r="D80" i="6"/>
  <c r="C84" i="6"/>
  <c r="E75" i="6"/>
  <c r="F75" i="6"/>
  <c r="G75" i="6"/>
  <c r="H75" i="6"/>
  <c r="I75" i="6"/>
  <c r="J75" i="6"/>
  <c r="K75" i="6"/>
  <c r="L75" i="6"/>
  <c r="G50" i="14"/>
  <c r="G49" i="14"/>
  <c r="G47" i="14"/>
  <c r="H50" i="14"/>
  <c r="H49" i="14"/>
  <c r="H47" i="14"/>
  <c r="I50" i="14"/>
  <c r="I49" i="14"/>
  <c r="I47" i="14"/>
  <c r="J50" i="14"/>
  <c r="J49" i="14"/>
  <c r="J47" i="14"/>
  <c r="K50" i="14"/>
  <c r="K49" i="14"/>
  <c r="K47" i="14"/>
  <c r="L50" i="14"/>
  <c r="L49" i="14"/>
  <c r="L47" i="14"/>
  <c r="M50" i="14"/>
  <c r="M49" i="14"/>
  <c r="M47" i="14"/>
  <c r="N50" i="14"/>
  <c r="N49" i="14"/>
  <c r="N47" i="14"/>
  <c r="O50" i="14"/>
  <c r="O49" i="14"/>
  <c r="O47" i="14"/>
  <c r="P50" i="14"/>
  <c r="P49" i="14"/>
  <c r="P47" i="14"/>
  <c r="Q50" i="14"/>
  <c r="Q49" i="14"/>
  <c r="Q47" i="14"/>
  <c r="R50" i="14"/>
  <c r="R49" i="14"/>
  <c r="R47" i="14"/>
  <c r="S50" i="14"/>
  <c r="S49" i="14"/>
  <c r="S47" i="14"/>
  <c r="T50" i="14"/>
  <c r="T49" i="14"/>
  <c r="C40" i="14"/>
  <c r="C86" i="6"/>
  <c r="C76" i="6"/>
  <c r="T47" i="14"/>
  <c r="U50" i="14"/>
  <c r="U49" i="14"/>
  <c r="E7" i="11"/>
  <c r="F7" i="11"/>
  <c r="G7" i="11"/>
  <c r="E8" i="11"/>
  <c r="F8" i="11"/>
  <c r="G8" i="11"/>
  <c r="U47" i="14"/>
  <c r="V50" i="14"/>
  <c r="V49" i="14"/>
  <c r="V47" i="14"/>
  <c r="W50" i="14"/>
  <c r="W49" i="14"/>
  <c r="E10" i="11"/>
  <c r="W47" i="14"/>
  <c r="X50" i="14"/>
  <c r="X49" i="14"/>
  <c r="X47" i="14"/>
  <c r="Y50" i="14"/>
  <c r="Y49" i="14"/>
  <c r="Y47" i="14"/>
  <c r="Z50" i="14"/>
  <c r="Z49" i="14"/>
  <c r="Z47" i="14"/>
  <c r="AA50" i="14"/>
  <c r="AA49" i="14"/>
  <c r="AA47" i="14"/>
  <c r="AB50" i="14"/>
  <c r="AB49" i="14"/>
  <c r="AB47" i="14"/>
  <c r="AC50" i="14"/>
  <c r="AC49" i="14"/>
  <c r="AC47" i="14"/>
  <c r="AD50" i="14"/>
  <c r="AD49" i="14"/>
  <c r="AD47" i="14"/>
  <c r="AE50" i="14"/>
  <c r="AE49" i="14"/>
  <c r="AE47" i="14"/>
  <c r="AF50" i="14"/>
  <c r="AF49" i="14"/>
  <c r="AF47" i="14"/>
  <c r="AG50" i="14"/>
  <c r="AG49" i="14"/>
  <c r="AG47" i="14"/>
  <c r="AH50" i="14"/>
  <c r="AH49" i="14"/>
  <c r="AH47" i="14"/>
  <c r="AI50" i="14"/>
  <c r="AI49" i="14"/>
  <c r="AI47" i="14"/>
  <c r="AJ50" i="14"/>
  <c r="AJ49" i="14"/>
  <c r="AJ47" i="14"/>
  <c r="AK50" i="14"/>
  <c r="AK49" i="14"/>
  <c r="AK47" i="14"/>
  <c r="AL50" i="14"/>
  <c r="AL49" i="14"/>
  <c r="AL47" i="14"/>
  <c r="AM50" i="14"/>
  <c r="AM49" i="14"/>
  <c r="AM47" i="14"/>
  <c r="AN50" i="14"/>
  <c r="AN49" i="14"/>
  <c r="AN47" i="14"/>
  <c r="AO50" i="14"/>
  <c r="AO49" i="14"/>
  <c r="AO47" i="14"/>
  <c r="AP50" i="14"/>
  <c r="AP49" i="14"/>
  <c r="AP47" i="14"/>
  <c r="AQ50" i="14"/>
  <c r="AQ49" i="14"/>
  <c r="AQ47" i="14"/>
  <c r="AR50" i="14"/>
  <c r="AR49" i="14"/>
  <c r="AR47" i="14"/>
  <c r="AS50" i="14"/>
  <c r="AS49" i="14"/>
  <c r="AS47" i="14"/>
  <c r="AT50" i="14"/>
  <c r="AT49" i="14"/>
  <c r="AT47" i="14"/>
  <c r="AU50" i="14"/>
  <c r="AU49" i="14"/>
  <c r="AU47" i="14"/>
  <c r="AV50" i="14"/>
  <c r="AV49" i="14"/>
  <c r="AV47" i="14"/>
  <c r="AW50" i="14"/>
  <c r="AW49" i="14"/>
  <c r="AW47" i="14"/>
  <c r="AX50" i="14"/>
  <c r="AX49" i="14"/>
  <c r="AX47" i="14"/>
  <c r="AY50" i="14"/>
  <c r="AY49" i="14"/>
  <c r="AY47" i="14"/>
  <c r="AZ50" i="14"/>
  <c r="AZ49" i="14"/>
  <c r="AZ47" i="14"/>
  <c r="BA50" i="14"/>
  <c r="BA49" i="14"/>
  <c r="BA47" i="14"/>
  <c r="BB50" i="14"/>
  <c r="BB49" i="14"/>
  <c r="BB47" i="14"/>
  <c r="BC50" i="14"/>
  <c r="BC49" i="14"/>
  <c r="BC47" i="14"/>
  <c r="BD50" i="14"/>
  <c r="BD49" i="14"/>
  <c r="BD47" i="14"/>
  <c r="BE50" i="14"/>
  <c r="BE49" i="14"/>
  <c r="BE47" i="14"/>
  <c r="BF50" i="14"/>
  <c r="BF49" i="14"/>
  <c r="BF47" i="14"/>
  <c r="BG50" i="14"/>
  <c r="BG49" i="14"/>
  <c r="BG47" i="14"/>
  <c r="BH50" i="14"/>
  <c r="BH49" i="14"/>
  <c r="BH47" i="14"/>
  <c r="BI50" i="14"/>
  <c r="BI49" i="14"/>
  <c r="BI47" i="14"/>
  <c r="BJ50" i="14"/>
  <c r="BJ49" i="14"/>
  <c r="BJ47" i="14"/>
  <c r="BK50" i="14"/>
  <c r="BK49" i="14"/>
  <c r="BK47" i="14"/>
  <c r="BL50" i="14"/>
  <c r="BL49" i="14"/>
  <c r="BL47" i="14"/>
  <c r="BM50" i="14"/>
  <c r="BM49" i="14"/>
  <c r="BM47" i="14"/>
  <c r="BN50" i="14"/>
  <c r="BN49" i="14"/>
  <c r="BN47" i="14"/>
  <c r="BO50" i="14"/>
  <c r="BO49" i="14"/>
  <c r="BO47" i="14"/>
  <c r="BP50" i="14"/>
  <c r="BP49" i="14"/>
  <c r="BP47" i="14"/>
  <c r="BQ50" i="14"/>
  <c r="BQ49" i="14"/>
  <c r="BQ47" i="14"/>
  <c r="BR50" i="14"/>
  <c r="BR49" i="14"/>
  <c r="BR47" i="14"/>
  <c r="BS50" i="14"/>
  <c r="BS49" i="14"/>
  <c r="BS47" i="14"/>
  <c r="BT50" i="14"/>
  <c r="BT49" i="14"/>
  <c r="BT47" i="14"/>
  <c r="BU50" i="14"/>
  <c r="BU49" i="14"/>
  <c r="BU47" i="14"/>
  <c r="BV50" i="14"/>
  <c r="BV49" i="14"/>
  <c r="BV47" i="14"/>
  <c r="BW50" i="14"/>
  <c r="BW49" i="14"/>
  <c r="BW47" i="14"/>
  <c r="BX50" i="14"/>
  <c r="BX49" i="14"/>
  <c r="BX47" i="14"/>
  <c r="BY50" i="14"/>
  <c r="BY49" i="14"/>
  <c r="BY47" i="14"/>
  <c r="BZ50" i="14"/>
  <c r="BZ49" i="14"/>
  <c r="BZ47" i="14"/>
  <c r="CA50" i="14"/>
  <c r="CA49" i="14"/>
  <c r="CA47" i="14"/>
  <c r="CB50" i="14"/>
  <c r="CB49" i="14"/>
  <c r="CB47" i="14"/>
  <c r="CC50" i="14"/>
  <c r="CC49" i="14"/>
  <c r="CC47" i="14"/>
  <c r="CD50" i="14"/>
  <c r="CD49" i="14"/>
  <c r="CD47" i="14"/>
  <c r="CE50" i="14"/>
  <c r="CE49" i="14"/>
  <c r="CE47" i="14"/>
  <c r="CF50" i="14"/>
  <c r="CF49" i="14"/>
  <c r="CF47" i="14"/>
  <c r="CG50" i="14"/>
  <c r="CG49" i="14"/>
  <c r="CG47" i="14"/>
  <c r="CH50" i="14"/>
  <c r="CH49" i="14"/>
  <c r="CH47" i="14"/>
  <c r="CI50" i="14"/>
  <c r="CI49" i="14"/>
  <c r="CI47" i="14"/>
  <c r="CJ50" i="14"/>
  <c r="CJ49" i="14"/>
  <c r="CJ47" i="14"/>
  <c r="CK50" i="14"/>
  <c r="CK49" i="14"/>
  <c r="CK47" i="14"/>
  <c r="CL50" i="14"/>
  <c r="CL49" i="14"/>
  <c r="CL47" i="14"/>
  <c r="CM50" i="14"/>
  <c r="CM49" i="14"/>
  <c r="CM47" i="14"/>
  <c r="CN50" i="14"/>
  <c r="CN49" i="14"/>
  <c r="CN47" i="14"/>
  <c r="CO50" i="14"/>
  <c r="CO49" i="14"/>
  <c r="CO47" i="14"/>
  <c r="CP50" i="14"/>
  <c r="CP49" i="14"/>
  <c r="CP47" i="14"/>
  <c r="CQ50" i="14"/>
  <c r="CQ49" i="14"/>
  <c r="CQ47" i="14"/>
  <c r="CR50" i="14"/>
  <c r="CR49" i="14"/>
  <c r="CR47" i="14"/>
  <c r="CS50" i="14"/>
  <c r="CS49" i="14"/>
  <c r="CS47" i="14"/>
  <c r="CT50" i="14"/>
  <c r="CT49" i="14"/>
  <c r="CT47" i="14"/>
  <c r="CU50" i="14"/>
  <c r="CU49" i="14"/>
  <c r="CU47" i="14"/>
</calcChain>
</file>

<file path=xl/sharedStrings.xml><?xml version="1.0" encoding="utf-8"?>
<sst xmlns="http://schemas.openxmlformats.org/spreadsheetml/2006/main" count="284" uniqueCount="157">
  <si>
    <t>DEPARTAMENTOS</t>
  </si>
  <si>
    <t>m2</t>
  </si>
  <si>
    <t>Costo</t>
  </si>
  <si>
    <t>Costo m2</t>
  </si>
  <si>
    <t>Fuente</t>
  </si>
  <si>
    <t xml:space="preserve">construidos </t>
  </si>
  <si>
    <t>US</t>
  </si>
  <si>
    <t>MX</t>
  </si>
  <si>
    <t>COSTO PROMEDIO</t>
  </si>
  <si>
    <t>COSTO M2 PROMEDIO</t>
  </si>
  <si>
    <t>https://departamento.metroscubicos.com/MLM-609180923-departamento-en-venta-puerto-vallarta-deck12-_JM</t>
  </si>
  <si>
    <t>https://departamento.metroscubicos.com/MLM-612120787-marina-towers-_JM</t>
  </si>
  <si>
    <t>https://departamento.metroscubicos.com/MLM-612590059-apartamento-tipo-loft-en-venta-en-puerto-vallarta-_JM</t>
  </si>
  <si>
    <t>https://departamento.metroscubicos.com/MLM-612589927-apartamento-tipo-loft-en-venta-en-puerto-vallarta-_JM</t>
  </si>
  <si>
    <t>https://departamento.metroscubicos.com/MLM-612590051-puerto-vallarta-condominio-tipo-loft-en-venta-_JM</t>
  </si>
  <si>
    <t>https://departamento.metroscubicos.com/MLM-597911338-icon-puerto-vallarta-_JM</t>
  </si>
  <si>
    <t>https://departamento.metroscubicos.com/MLM-611291873-departamento-en-venta-puerto-vallarta-jalisco-_JM</t>
  </si>
  <si>
    <t>https://departamento.metroscubicos.com/MLM-580914054-departamento-amueblado-venta-en-paramount-bay-pto-vallarta-_JM</t>
  </si>
  <si>
    <t>TERRENOS</t>
  </si>
  <si>
    <t>https://terreno.metroscubicos.com/MLM-610237416-terreno-en-venta-en-el-paredon-puerto-vallarta-_JM</t>
  </si>
  <si>
    <t>https://terreno.metroscubicos.com/MLM-599730910-terreno-en-zona-hotelera-en-puerto-vallarta-jalisco-_JM</t>
  </si>
  <si>
    <t>https://terreno.metroscubicos.com/MLM-589142809-terreno-en-venta-puerto-vallarta-jalisco-_JM</t>
  </si>
  <si>
    <t>https://terreno.metroscubicos.com/MLM-589142810-terreno-en-venta-puerto-vallarta-jalisco-_JM</t>
  </si>
  <si>
    <t>https://terreno.metroscubicos.com/MLM-591075163-terreno-comercial-en-amapas-gladiolas-_JM</t>
  </si>
  <si>
    <t>https://terreno.metroscubicos.com/MLM-612720999-terreno-en-venta-puerto-vallarta-jalisco-_JM</t>
  </si>
  <si>
    <t>https://terreno.metroscubicos.com/MLM-610362672-lot-in-boca-de-tomatlan-_JM</t>
  </si>
  <si>
    <t>Torres</t>
  </si>
  <si>
    <t>Departamentos</t>
  </si>
  <si>
    <t>Niveles</t>
  </si>
  <si>
    <t>Total m2</t>
  </si>
  <si>
    <t xml:space="preserve">Area total </t>
  </si>
  <si>
    <t>Precio m2</t>
  </si>
  <si>
    <t>Total</t>
  </si>
  <si>
    <t>Terreno</t>
  </si>
  <si>
    <t>Area Privativa</t>
  </si>
  <si>
    <t>se va a toma a la mitad el costo y precio</t>
  </si>
  <si>
    <t>Departamento</t>
  </si>
  <si>
    <t>Precio venta</t>
  </si>
  <si>
    <t>Construcción</t>
  </si>
  <si>
    <t>por torre</t>
  </si>
  <si>
    <t>Año 0</t>
  </si>
  <si>
    <t>Año 1</t>
  </si>
  <si>
    <t>Año 2</t>
  </si>
  <si>
    <t>Año 3</t>
  </si>
  <si>
    <t>Año 4</t>
  </si>
  <si>
    <t>Año 5</t>
  </si>
  <si>
    <t>2 años x torre</t>
  </si>
  <si>
    <t>Año 6</t>
  </si>
  <si>
    <t>Por 180</t>
  </si>
  <si>
    <t>Por torre</t>
  </si>
  <si>
    <t>Torre 1</t>
  </si>
  <si>
    <t xml:space="preserve">Ventas </t>
  </si>
  <si>
    <t>Torre 2</t>
  </si>
  <si>
    <t>Torre 3</t>
  </si>
  <si>
    <t>Concepto</t>
  </si>
  <si>
    <t>Gastos generales</t>
  </si>
  <si>
    <t>Depreciación</t>
  </si>
  <si>
    <t>UTILIDAD DE OPERACIÓN</t>
  </si>
  <si>
    <t>ISR</t>
  </si>
  <si>
    <t>UTILIDAD NETA DE OPERACIO</t>
  </si>
  <si>
    <t>Ajustes:</t>
  </si>
  <si>
    <t>Var. Capital de Trabajo</t>
  </si>
  <si>
    <t>Flujo Libre de Efectivo</t>
  </si>
  <si>
    <t>VPN =</t>
  </si>
  <si>
    <t>TIR =</t>
  </si>
  <si>
    <t>Flujo Libre de Efectivo Descontados</t>
  </si>
  <si>
    <t>Retorno=</t>
  </si>
  <si>
    <t>Indicadores Financieros</t>
  </si>
  <si>
    <t>Compra terreno</t>
  </si>
  <si>
    <t>Construcción/venta torre 1</t>
  </si>
  <si>
    <t>Construcción/venta torre 2</t>
  </si>
  <si>
    <t>Construcción/venta torre 3</t>
  </si>
  <si>
    <t>Indice de Rentabilidad=</t>
  </si>
  <si>
    <t>Tasa de Descuento=</t>
  </si>
  <si>
    <t>Precio Total</t>
  </si>
  <si>
    <t>Costo Total</t>
  </si>
  <si>
    <t>Permisos</t>
  </si>
  <si>
    <t>Comisiones sobre ventas</t>
  </si>
  <si>
    <t>Proyecto Arquitectónico</t>
  </si>
  <si>
    <t>Administración de Obra</t>
  </si>
  <si>
    <t>Dirección del Proyecto</t>
  </si>
  <si>
    <t>Precio Unitario</t>
  </si>
  <si>
    <t>Construcción/venta torre 4</t>
  </si>
  <si>
    <t>Costo de Ventas por torre</t>
  </si>
  <si>
    <t>Costo de Ventas Areas Comunes</t>
  </si>
  <si>
    <t>Areas Comunes</t>
  </si>
  <si>
    <t>Area</t>
  </si>
  <si>
    <t>Calles/banquetas</t>
  </si>
  <si>
    <t>Jardin</t>
  </si>
  <si>
    <t>Casas</t>
  </si>
  <si>
    <t>Venta</t>
  </si>
  <si>
    <t>16 casas</t>
  </si>
  <si>
    <t>Ventas Torres</t>
  </si>
  <si>
    <t>Ventas Casas</t>
  </si>
  <si>
    <t>Costo de Ventas Casas</t>
  </si>
  <si>
    <t>Ventas totales</t>
  </si>
  <si>
    <t>Costos totales</t>
  </si>
  <si>
    <t>Estudios de Prefactibilidad</t>
  </si>
  <si>
    <t>4 torres</t>
  </si>
  <si>
    <t>Inversión Acumulada</t>
  </si>
  <si>
    <t>Proyecto: Puerto Vallarta</t>
  </si>
  <si>
    <t>Torre 4</t>
  </si>
  <si>
    <t>Concepto/ Año</t>
  </si>
  <si>
    <t>EBITDA</t>
  </si>
  <si>
    <t>Costos de Construcción</t>
  </si>
  <si>
    <t>Aportación Terreno</t>
  </si>
  <si>
    <t>Áreas Comunes</t>
  </si>
  <si>
    <t>Año 7</t>
  </si>
  <si>
    <t>Año 8</t>
  </si>
  <si>
    <t>Sumatoria Ventas Torres</t>
  </si>
  <si>
    <t>Año 9</t>
  </si>
  <si>
    <t>Gastos de Capital (Aportación Terreno)</t>
  </si>
  <si>
    <t>Sumatoria Costo Ventas Torres</t>
  </si>
  <si>
    <t>Inversión Acumulada Máxima (IAM)</t>
  </si>
  <si>
    <t>IAM - Otros</t>
  </si>
  <si>
    <t>Utilidad</t>
  </si>
  <si>
    <t>Inversión</t>
  </si>
  <si>
    <t>Gonzalo González</t>
  </si>
  <si>
    <t>Aportación terreno</t>
  </si>
  <si>
    <t>Metros cuadrados</t>
  </si>
  <si>
    <t>Monto de aportación</t>
  </si>
  <si>
    <t>Valor de aportación (Pesos Mexicanos)*</t>
  </si>
  <si>
    <t>* Incrementos del 10% por concepto de plusvalía en cada aportación.</t>
  </si>
  <si>
    <t>1) Corrida Financiera</t>
  </si>
  <si>
    <t>2) Parámetros y Áreas
Proyecto Puerto Vallarta</t>
  </si>
  <si>
    <t>3) Resumen de aportaciones</t>
  </si>
  <si>
    <t>Venta torre 1</t>
  </si>
  <si>
    <t>Venta torre 2</t>
  </si>
  <si>
    <t>Venta torre 3</t>
  </si>
  <si>
    <t>Venta torre 4</t>
  </si>
  <si>
    <t>CXC</t>
  </si>
  <si>
    <t xml:space="preserve"> </t>
  </si>
  <si>
    <t>Inv Máxima Acumuluada</t>
  </si>
  <si>
    <t>Gestiones trámites Gonzalo</t>
  </si>
  <si>
    <t>Período</t>
  </si>
  <si>
    <t>Absorción</t>
  </si>
  <si>
    <t>Tabla de Absorción en 24 meses</t>
  </si>
  <si>
    <t>Venta Casas Fase 1</t>
  </si>
  <si>
    <t>Venta Casas Fase 2</t>
  </si>
  <si>
    <t>Venta Casas Fase 3</t>
  </si>
  <si>
    <t>Venta Casas Fase 4</t>
  </si>
  <si>
    <t>Aportación líquida para Fase Inicial</t>
  </si>
  <si>
    <t>anual</t>
  </si>
  <si>
    <t xml:space="preserve">año 1 </t>
  </si>
  <si>
    <t>año 2</t>
  </si>
  <si>
    <t>año 3</t>
  </si>
  <si>
    <t>año 4</t>
  </si>
  <si>
    <t>periodo 0</t>
  </si>
  <si>
    <t xml:space="preserve">Pixka/ Mypsa </t>
  </si>
  <si>
    <t xml:space="preserve">pago de licencia </t>
  </si>
  <si>
    <t xml:space="preserve">valor accion </t>
  </si>
  <si>
    <t>número de acciones</t>
  </si>
  <si>
    <t xml:space="preserve">emisión de acciones </t>
  </si>
  <si>
    <t xml:space="preserve">construccion </t>
  </si>
  <si>
    <t xml:space="preserve">Pixka </t>
  </si>
  <si>
    <t>otros</t>
  </si>
  <si>
    <t>Gonzalo 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</si>
</sst>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#,##0.0"/>
    <numFmt numFmtId="167" formatCode="0.0%"/>
    <numFmt numFmtId="168" formatCode="#,##0_ ;\-#,##0\ "/>
    <numFmt numFmtId="169" formatCode="#,##0.00_ ;[Red]\-#,##0.00\ "/>
    <numFmt numFmtId="170" formatCode="0.000%"/>
    <numFmt numFmtId="171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/>
    </fill>
    <fill>
      <patternFill patternType="lightGray">
        <bgColor rgb="FF92D050"/>
      </patternFill>
    </fill>
    <fill>
      <patternFill patternType="lightGray">
        <bgColor theme="8" tint="0.5999938962981048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2" fillId="0" borderId="0"/>
  </cellStyleXfs>
  <cellXfs count="26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/>
    <xf numFmtId="44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2" borderId="1" xfId="0" applyNumberFormat="1" applyFill="1" applyBorder="1"/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44" fontId="0" fillId="3" borderId="1" xfId="0" applyNumberFormat="1" applyFill="1" applyBorder="1"/>
    <xf numFmtId="0" fontId="0" fillId="3" borderId="0" xfId="0" applyFill="1"/>
    <xf numFmtId="0" fontId="0" fillId="3" borderId="5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3" fontId="0" fillId="0" borderId="0" xfId="2" applyFont="1"/>
    <xf numFmtId="165" fontId="0" fillId="0" borderId="0" xfId="2" applyNumberFormat="1" applyFont="1"/>
    <xf numFmtId="4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4" fontId="0" fillId="0" borderId="6" xfId="0" applyNumberFormat="1" applyBorder="1"/>
    <xf numFmtId="44" fontId="0" fillId="0" borderId="6" xfId="0" applyNumberFormat="1" applyBorder="1"/>
    <xf numFmtId="0" fontId="0" fillId="0" borderId="9" xfId="0" applyBorder="1"/>
    <xf numFmtId="44" fontId="0" fillId="0" borderId="0" xfId="0" applyNumberFormat="1" applyBorder="1"/>
    <xf numFmtId="4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0" xfId="1" applyNumberFormat="1" applyFont="1" applyBorder="1"/>
    <xf numFmtId="164" fontId="0" fillId="0" borderId="10" xfId="1" applyNumberFormat="1" applyFont="1" applyBorder="1"/>
    <xf numFmtId="0" fontId="0" fillId="0" borderId="0" xfId="0" applyBorder="1"/>
    <xf numFmtId="164" fontId="0" fillId="0" borderId="10" xfId="0" applyNumberFormat="1" applyBorder="1"/>
    <xf numFmtId="164" fontId="0" fillId="0" borderId="13" xfId="1" applyNumberFormat="1" applyFont="1" applyBorder="1"/>
    <xf numFmtId="164" fontId="0" fillId="0" borderId="6" xfId="1" applyNumberFormat="1" applyFont="1" applyBorder="1"/>
    <xf numFmtId="9" fontId="0" fillId="0" borderId="0" xfId="3" applyFont="1"/>
    <xf numFmtId="49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Protection="1">
      <protection locked="0"/>
    </xf>
    <xf numFmtId="3" fontId="6" fillId="0" borderId="0" xfId="2" applyNumberFormat="1" applyFont="1" applyBorder="1" applyAlignment="1" applyProtection="1">
      <protection locked="0"/>
    </xf>
    <xf numFmtId="166" fontId="5" fillId="0" borderId="3" xfId="2" applyNumberFormat="1" applyFont="1" applyBorder="1" applyAlignment="1" applyProtection="1">
      <alignment vertical="center"/>
      <protection locked="0"/>
    </xf>
    <xf numFmtId="164" fontId="5" fillId="4" borderId="3" xfId="1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5" fillId="0" borderId="9" xfId="0" applyFont="1" applyBorder="1" applyAlignment="1" applyProtection="1">
      <alignment horizontal="right"/>
      <protection locked="0"/>
    </xf>
    <xf numFmtId="2" fontId="6" fillId="0" borderId="10" xfId="0" applyNumberFormat="1" applyFont="1" applyBorder="1" applyProtection="1">
      <protection locked="0"/>
    </xf>
    <xf numFmtId="0" fontId="5" fillId="0" borderId="11" xfId="0" applyFont="1" applyBorder="1" applyAlignment="1" applyProtection="1">
      <alignment horizontal="right"/>
      <protection locked="0"/>
    </xf>
    <xf numFmtId="9" fontId="0" fillId="0" borderId="13" xfId="3" applyFont="1" applyBorder="1"/>
    <xf numFmtId="167" fontId="0" fillId="0" borderId="10" xfId="3" applyNumberFormat="1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2" applyNumberFormat="1" applyFont="1" applyBorder="1" applyAlignment="1">
      <alignment horizontal="center"/>
    </xf>
    <xf numFmtId="164" fontId="0" fillId="0" borderId="5" xfId="1" applyNumberFormat="1" applyFont="1" applyBorder="1"/>
    <xf numFmtId="164" fontId="0" fillId="0" borderId="16" xfId="1" applyNumberFormat="1" applyFont="1" applyBorder="1"/>
    <xf numFmtId="0" fontId="0" fillId="0" borderId="19" xfId="0" applyBorder="1"/>
    <xf numFmtId="164" fontId="0" fillId="0" borderId="20" xfId="1" applyNumberFormat="1" applyFont="1" applyBorder="1"/>
    <xf numFmtId="164" fontId="0" fillId="0" borderId="19" xfId="1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0" fontId="4" fillId="7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right"/>
      <protection locked="0"/>
    </xf>
    <xf numFmtId="10" fontId="0" fillId="0" borderId="10" xfId="0" applyNumberFormat="1" applyBorder="1"/>
    <xf numFmtId="43" fontId="0" fillId="0" borderId="14" xfId="2" applyFont="1" applyBorder="1"/>
    <xf numFmtId="44" fontId="0" fillId="8" borderId="12" xfId="0" applyNumberFormat="1" applyFill="1" applyBorder="1"/>
    <xf numFmtId="0" fontId="0" fillId="0" borderId="23" xfId="0" applyBorder="1"/>
    <xf numFmtId="43" fontId="0" fillId="0" borderId="24" xfId="2" applyFont="1" applyBorder="1"/>
    <xf numFmtId="10" fontId="6" fillId="0" borderId="0" xfId="3" applyNumberFormat="1" applyFont="1" applyAlignment="1">
      <alignment horizontal="right"/>
    </xf>
    <xf numFmtId="10" fontId="0" fillId="0" borderId="0" xfId="0" applyNumberFormat="1"/>
    <xf numFmtId="3" fontId="5" fillId="0" borderId="0" xfId="0" applyNumberFormat="1" applyFont="1" applyBorder="1" applyAlignment="1" applyProtection="1">
      <alignment horizontal="right" vertical="center"/>
      <protection locked="0"/>
    </xf>
    <xf numFmtId="43" fontId="0" fillId="0" borderId="0" xfId="2" applyFont="1" applyBorder="1"/>
    <xf numFmtId="164" fontId="5" fillId="4" borderId="0" xfId="1" applyNumberFormat="1" applyFont="1" applyFill="1" applyBorder="1" applyProtection="1">
      <protection locked="0"/>
    </xf>
    <xf numFmtId="165" fontId="0" fillId="0" borderId="0" xfId="2" applyNumberFormat="1" applyFont="1" applyBorder="1"/>
    <xf numFmtId="165" fontId="0" fillId="0" borderId="12" xfId="2" applyNumberFormat="1" applyFont="1" applyBorder="1"/>
    <xf numFmtId="165" fontId="0" fillId="0" borderId="10" xfId="0" applyNumberFormat="1" applyBorder="1"/>
    <xf numFmtId="165" fontId="0" fillId="0" borderId="6" xfId="0" applyNumberFormat="1" applyBorder="1"/>
    <xf numFmtId="164" fontId="0" fillId="0" borderId="12" xfId="1" applyNumberFormat="1" applyFont="1" applyBorder="1"/>
    <xf numFmtId="49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 indent="1"/>
    </xf>
    <xf numFmtId="3" fontId="6" fillId="8" borderId="0" xfId="0" applyNumberFormat="1" applyFont="1" applyFill="1" applyProtection="1">
      <protection locked="0"/>
    </xf>
    <xf numFmtId="165" fontId="0" fillId="0" borderId="11" xfId="2" applyNumberFormat="1" applyFont="1" applyBorder="1"/>
    <xf numFmtId="165" fontId="0" fillId="0" borderId="13" xfId="2" applyNumberFormat="1" applyFont="1" applyBorder="1"/>
    <xf numFmtId="0" fontId="12" fillId="0" borderId="0" xfId="4" applyFont="1" applyFill="1"/>
    <xf numFmtId="0" fontId="0" fillId="0" borderId="20" xfId="0" applyBorder="1"/>
    <xf numFmtId="0" fontId="4" fillId="7" borderId="0" xfId="0" applyFont="1" applyFill="1" applyBorder="1" applyAlignment="1">
      <alignment horizontal="center"/>
    </xf>
    <xf numFmtId="0" fontId="7" fillId="0" borderId="25" xfId="0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0" fontId="5" fillId="0" borderId="0" xfId="0" applyFont="1" applyFill="1" applyBorder="1" applyAlignment="1" applyProtection="1">
      <alignment horizontal="right"/>
      <protection locked="0"/>
    </xf>
    <xf numFmtId="0" fontId="13" fillId="0" borderId="0" xfId="0" applyFont="1"/>
    <xf numFmtId="164" fontId="13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2" fillId="0" borderId="0" xfId="5"/>
    <xf numFmtId="0" fontId="10" fillId="0" borderId="0" xfId="5" applyFont="1"/>
    <xf numFmtId="3" fontId="11" fillId="0" borderId="0" xfId="5" applyNumberFormat="1" applyFont="1"/>
    <xf numFmtId="10" fontId="11" fillId="0" borderId="0" xfId="5" applyNumberFormat="1" applyFont="1"/>
    <xf numFmtId="3" fontId="9" fillId="0" borderId="0" xfId="5" applyNumberFormat="1" applyFont="1"/>
    <xf numFmtId="3" fontId="2" fillId="0" borderId="0" xfId="5" applyNumberFormat="1"/>
    <xf numFmtId="0" fontId="2" fillId="0" borderId="0" xfId="5" applyFill="1"/>
    <xf numFmtId="0" fontId="2" fillId="0" borderId="0" xfId="5" applyAlignment="1">
      <alignment wrapText="1"/>
    </xf>
    <xf numFmtId="9" fontId="11" fillId="0" borderId="0" xfId="3" applyFont="1"/>
    <xf numFmtId="0" fontId="0" fillId="0" borderId="1" xfId="0" applyBorder="1"/>
    <xf numFmtId="0" fontId="7" fillId="9" borderId="1" xfId="0" applyFont="1" applyFill="1" applyBorder="1"/>
    <xf numFmtId="165" fontId="0" fillId="0" borderId="1" xfId="2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5" fontId="6" fillId="0" borderId="0" xfId="2" applyNumberFormat="1" applyFont="1" applyBorder="1" applyAlignment="1" applyProtection="1">
      <protection locked="0"/>
    </xf>
    <xf numFmtId="0" fontId="6" fillId="0" borderId="0" xfId="0" applyFont="1" applyAlignment="1">
      <alignment horizontal="right" indent="2"/>
    </xf>
    <xf numFmtId="0" fontId="0" fillId="0" borderId="0" xfId="0" applyAlignment="1"/>
    <xf numFmtId="3" fontId="0" fillId="0" borderId="0" xfId="0" applyNumberFormat="1"/>
    <xf numFmtId="10" fontId="0" fillId="0" borderId="0" xfId="3" applyNumberFormat="1" applyFont="1"/>
    <xf numFmtId="165" fontId="0" fillId="0" borderId="19" xfId="0" applyNumberFormat="1" applyBorder="1"/>
    <xf numFmtId="165" fontId="0" fillId="0" borderId="0" xfId="0" applyNumberFormat="1" applyBorder="1"/>
    <xf numFmtId="165" fontId="0" fillId="0" borderId="20" xfId="0" applyNumberFormat="1" applyBorder="1"/>
    <xf numFmtId="165" fontId="6" fillId="0" borderId="19" xfId="2" applyNumberFormat="1" applyFont="1" applyBorder="1" applyAlignment="1" applyProtection="1">
      <protection locked="0"/>
    </xf>
    <xf numFmtId="165" fontId="0" fillId="0" borderId="20" xfId="2" applyNumberFormat="1" applyFont="1" applyBorder="1"/>
    <xf numFmtId="165" fontId="6" fillId="0" borderId="20" xfId="2" applyNumberFormat="1" applyFont="1" applyBorder="1" applyAlignment="1" applyProtection="1">
      <protection locked="0"/>
    </xf>
    <xf numFmtId="3" fontId="6" fillId="0" borderId="19" xfId="2" applyNumberFormat="1" applyFont="1" applyBorder="1" applyAlignment="1" applyProtection="1">
      <protection locked="0"/>
    </xf>
    <xf numFmtId="3" fontId="6" fillId="0" borderId="20" xfId="2" applyNumberFormat="1" applyFont="1" applyBorder="1" applyAlignment="1" applyProtection="1">
      <protection locked="0"/>
    </xf>
    <xf numFmtId="166" fontId="5" fillId="0" borderId="2" xfId="2" applyNumberFormat="1" applyFont="1" applyBorder="1" applyAlignment="1" applyProtection="1">
      <alignment vertical="center"/>
      <protection locked="0"/>
    </xf>
    <xf numFmtId="166" fontId="5" fillId="0" borderId="4" xfId="2" applyNumberFormat="1" applyFont="1" applyBorder="1" applyAlignment="1" applyProtection="1">
      <alignment vertical="center"/>
      <protection locked="0"/>
    </xf>
    <xf numFmtId="165" fontId="0" fillId="0" borderId="19" xfId="2" applyNumberFormat="1" applyFont="1" applyBorder="1"/>
    <xf numFmtId="164" fontId="5" fillId="4" borderId="2" xfId="1" applyNumberFormat="1" applyFont="1" applyFill="1" applyBorder="1" applyProtection="1">
      <protection locked="0"/>
    </xf>
    <xf numFmtId="164" fontId="5" fillId="4" borderId="4" xfId="1" applyNumberFormat="1" applyFont="1" applyFill="1" applyBorder="1" applyProtection="1">
      <protection locked="0"/>
    </xf>
    <xf numFmtId="164" fontId="13" fillId="0" borderId="19" xfId="0" applyNumberFormat="1" applyFont="1" applyBorder="1"/>
    <xf numFmtId="164" fontId="13" fillId="0" borderId="0" xfId="0" applyNumberFormat="1" applyFont="1" applyBorder="1"/>
    <xf numFmtId="164" fontId="13" fillId="0" borderId="20" xfId="0" applyNumberFormat="1" applyFont="1" applyBorder="1"/>
    <xf numFmtId="0" fontId="0" fillId="0" borderId="10" xfId="0" applyBorder="1"/>
    <xf numFmtId="165" fontId="0" fillId="0" borderId="9" xfId="0" applyNumberFormat="1" applyBorder="1"/>
    <xf numFmtId="165" fontId="6" fillId="0" borderId="9" xfId="2" applyNumberFormat="1" applyFont="1" applyBorder="1" applyAlignment="1" applyProtection="1">
      <protection locked="0"/>
    </xf>
    <xf numFmtId="165" fontId="0" fillId="0" borderId="10" xfId="2" applyNumberFormat="1" applyFont="1" applyBorder="1"/>
    <xf numFmtId="165" fontId="6" fillId="0" borderId="10" xfId="2" applyNumberFormat="1" applyFont="1" applyBorder="1" applyAlignment="1" applyProtection="1">
      <protection locked="0"/>
    </xf>
    <xf numFmtId="3" fontId="6" fillId="0" borderId="9" xfId="2" applyNumberFormat="1" applyFont="1" applyBorder="1" applyAlignment="1" applyProtection="1">
      <protection locked="0"/>
    </xf>
    <xf numFmtId="3" fontId="6" fillId="0" borderId="10" xfId="2" applyNumberFormat="1" applyFont="1" applyBorder="1" applyAlignment="1" applyProtection="1">
      <protection locked="0"/>
    </xf>
    <xf numFmtId="166" fontId="5" fillId="0" borderId="32" xfId="2" applyNumberFormat="1" applyFont="1" applyBorder="1" applyAlignment="1" applyProtection="1">
      <alignment vertical="center"/>
      <protection locked="0"/>
    </xf>
    <xf numFmtId="166" fontId="5" fillId="0" borderId="33" xfId="2" applyNumberFormat="1" applyFont="1" applyBorder="1" applyAlignment="1" applyProtection="1">
      <alignment vertical="center"/>
      <protection locked="0"/>
    </xf>
    <xf numFmtId="165" fontId="0" fillId="0" borderId="9" xfId="2" applyNumberFormat="1" applyFont="1" applyBorder="1"/>
    <xf numFmtId="164" fontId="5" fillId="4" borderId="32" xfId="1" applyNumberFormat="1" applyFont="1" applyFill="1" applyBorder="1" applyProtection="1">
      <protection locked="0"/>
    </xf>
    <xf numFmtId="164" fontId="5" fillId="4" borderId="33" xfId="1" applyNumberFormat="1" applyFont="1" applyFill="1" applyBorder="1" applyProtection="1">
      <protection locked="0"/>
    </xf>
    <xf numFmtId="164" fontId="13" fillId="0" borderId="9" xfId="0" applyNumberFormat="1" applyFont="1" applyBorder="1"/>
    <xf numFmtId="164" fontId="13" fillId="0" borderId="10" xfId="0" applyNumberFormat="1" applyFont="1" applyBorder="1"/>
    <xf numFmtId="3" fontId="6" fillId="5" borderId="11" xfId="0" applyNumberFormat="1" applyFont="1" applyFill="1" applyBorder="1" applyProtection="1">
      <protection locked="0"/>
    </xf>
    <xf numFmtId="3" fontId="6" fillId="5" borderId="12" xfId="0" applyNumberFormat="1" applyFont="1" applyFill="1" applyBorder="1" applyProtection="1">
      <protection locked="0"/>
    </xf>
    <xf numFmtId="3" fontId="6" fillId="5" borderId="34" xfId="0" applyNumberFormat="1" applyFont="1" applyFill="1" applyBorder="1" applyProtection="1">
      <protection locked="0"/>
    </xf>
    <xf numFmtId="3" fontId="6" fillId="5" borderId="35" xfId="0" applyNumberFormat="1" applyFont="1" applyFill="1" applyBorder="1" applyProtection="1">
      <protection locked="0"/>
    </xf>
    <xf numFmtId="3" fontId="6" fillId="5" borderId="13" xfId="0" applyNumberFormat="1" applyFont="1" applyFill="1" applyBorder="1" applyProtection="1">
      <protection locked="0"/>
    </xf>
    <xf numFmtId="0" fontId="4" fillId="4" borderId="9" xfId="0" applyFont="1" applyFill="1" applyBorder="1"/>
    <xf numFmtId="0" fontId="4" fillId="4" borderId="0" xfId="0" applyFont="1" applyFill="1" applyBorder="1"/>
    <xf numFmtId="0" fontId="4" fillId="4" borderId="20" xfId="0" applyFont="1" applyFill="1" applyBorder="1"/>
    <xf numFmtId="0" fontId="4" fillId="4" borderId="19" xfId="0" applyFont="1" applyFill="1" applyBorder="1"/>
    <xf numFmtId="0" fontId="4" fillId="4" borderId="10" xfId="0" applyFont="1" applyFill="1" applyBorder="1"/>
    <xf numFmtId="0" fontId="4" fillId="4" borderId="36" xfId="0" applyFont="1" applyFill="1" applyBorder="1" applyAlignment="1">
      <alignment horizontal="center"/>
    </xf>
    <xf numFmtId="0" fontId="4" fillId="10" borderId="37" xfId="0" applyFont="1" applyFill="1" applyBorder="1" applyAlignment="1"/>
    <xf numFmtId="0" fontId="4" fillId="4" borderId="37" xfId="0" applyFont="1" applyFill="1" applyBorder="1"/>
    <xf numFmtId="0" fontId="0" fillId="0" borderId="37" xfId="0" applyBorder="1"/>
    <xf numFmtId="165" fontId="0" fillId="0" borderId="37" xfId="0" applyNumberFormat="1" applyBorder="1"/>
    <xf numFmtId="165" fontId="0" fillId="0" borderId="37" xfId="2" applyNumberFormat="1" applyFont="1" applyBorder="1"/>
    <xf numFmtId="165" fontId="6" fillId="0" borderId="37" xfId="2" applyNumberFormat="1" applyFont="1" applyBorder="1" applyAlignment="1" applyProtection="1">
      <protection locked="0"/>
    </xf>
    <xf numFmtId="3" fontId="6" fillId="0" borderId="37" xfId="2" applyNumberFormat="1" applyFont="1" applyBorder="1" applyAlignment="1" applyProtection="1">
      <protection locked="0"/>
    </xf>
    <xf numFmtId="166" fontId="5" fillId="0" borderId="38" xfId="2" applyNumberFormat="1" applyFont="1" applyBorder="1" applyAlignment="1" applyProtection="1">
      <alignment vertical="center"/>
      <protection locked="0"/>
    </xf>
    <xf numFmtId="164" fontId="5" fillId="4" borderId="38" xfId="1" applyNumberFormat="1" applyFont="1" applyFill="1" applyBorder="1" applyProtection="1">
      <protection locked="0"/>
    </xf>
    <xf numFmtId="164" fontId="13" fillId="0" borderId="37" xfId="0" applyNumberFormat="1" applyFont="1" applyBorder="1"/>
    <xf numFmtId="3" fontId="6" fillId="5" borderId="39" xfId="0" applyNumberFormat="1" applyFont="1" applyFill="1" applyBorder="1" applyProtection="1">
      <protection locked="0"/>
    </xf>
    <xf numFmtId="169" fontId="5" fillId="4" borderId="3" xfId="2" applyNumberFormat="1" applyFont="1" applyFill="1" applyBorder="1" applyAlignment="1" applyProtection="1">
      <alignment horizontal="right"/>
      <protection locked="0"/>
    </xf>
    <xf numFmtId="169" fontId="5" fillId="4" borderId="3" xfId="2" applyNumberFormat="1" applyFont="1" applyFill="1" applyBorder="1" applyProtection="1">
      <protection locked="0"/>
    </xf>
    <xf numFmtId="169" fontId="5" fillId="4" borderId="32" xfId="2" applyNumberFormat="1" applyFont="1" applyFill="1" applyBorder="1" applyProtection="1">
      <protection locked="0"/>
    </xf>
    <xf numFmtId="169" fontId="5" fillId="4" borderId="4" xfId="2" applyNumberFormat="1" applyFont="1" applyFill="1" applyBorder="1" applyProtection="1">
      <protection locked="0"/>
    </xf>
    <xf numFmtId="0" fontId="0" fillId="7" borderId="0" xfId="0" applyFill="1"/>
    <xf numFmtId="165" fontId="13" fillId="0" borderId="9" xfId="0" applyNumberFormat="1" applyFont="1" applyBorder="1"/>
    <xf numFmtId="165" fontId="13" fillId="0" borderId="0" xfId="0" applyNumberFormat="1" applyFont="1" applyBorder="1"/>
    <xf numFmtId="165" fontId="13" fillId="0" borderId="20" xfId="0" applyNumberFormat="1" applyFont="1" applyBorder="1"/>
    <xf numFmtId="165" fontId="13" fillId="0" borderId="20" xfId="2" applyNumberFormat="1" applyFont="1" applyBorder="1"/>
    <xf numFmtId="165" fontId="13" fillId="0" borderId="0" xfId="2" applyNumberFormat="1" applyFont="1"/>
    <xf numFmtId="165" fontId="13" fillId="0" borderId="9" xfId="2" applyNumberFormat="1" applyFont="1" applyBorder="1"/>
    <xf numFmtId="165" fontId="13" fillId="0" borderId="0" xfId="2" applyNumberFormat="1" applyFont="1" applyBorder="1"/>
    <xf numFmtId="169" fontId="13" fillId="0" borderId="0" xfId="2" applyNumberFormat="1" applyFont="1"/>
    <xf numFmtId="43" fontId="13" fillId="0" borderId="0" xfId="2" applyFont="1"/>
    <xf numFmtId="0" fontId="14" fillId="11" borderId="25" xfId="0" applyFont="1" applyFill="1" applyBorder="1"/>
    <xf numFmtId="164" fontId="14" fillId="11" borderId="41" xfId="0" applyNumberFormat="1" applyFont="1" applyFill="1" applyBorder="1"/>
    <xf numFmtId="165" fontId="14" fillId="11" borderId="25" xfId="2" applyNumberFormat="1" applyFont="1" applyFill="1" applyBorder="1"/>
    <xf numFmtId="164" fontId="14" fillId="11" borderId="40" xfId="0" applyNumberFormat="1" applyFont="1" applyFill="1" applyBorder="1"/>
    <xf numFmtId="0" fontId="13" fillId="12" borderId="0" xfId="0" applyFont="1" applyFill="1"/>
    <xf numFmtId="166" fontId="5" fillId="12" borderId="32" xfId="2" applyNumberFormat="1" applyFont="1" applyFill="1" applyBorder="1" applyAlignment="1" applyProtection="1">
      <alignment vertical="center"/>
      <protection locked="0"/>
    </xf>
    <xf numFmtId="169" fontId="5" fillId="12" borderId="3" xfId="2" applyNumberFormat="1" applyFont="1" applyFill="1" applyBorder="1" applyProtection="1">
      <protection locked="0"/>
    </xf>
    <xf numFmtId="164" fontId="14" fillId="12" borderId="25" xfId="0" applyNumberFormat="1" applyFont="1" applyFill="1" applyBorder="1"/>
    <xf numFmtId="164" fontId="13" fillId="12" borderId="0" xfId="0" applyNumberFormat="1" applyFont="1" applyFill="1"/>
    <xf numFmtId="0" fontId="4" fillId="12" borderId="9" xfId="0" applyFont="1" applyFill="1" applyBorder="1"/>
    <xf numFmtId="43" fontId="14" fillId="8" borderId="0" xfId="2" applyFont="1" applyFill="1"/>
    <xf numFmtId="3" fontId="13" fillId="8" borderId="0" xfId="0" applyNumberFormat="1" applyFont="1" applyFill="1"/>
    <xf numFmtId="165" fontId="13" fillId="8" borderId="0" xfId="2" applyNumberFormat="1" applyFont="1" applyFill="1"/>
    <xf numFmtId="0" fontId="16" fillId="0" borderId="0" xfId="0" applyFont="1"/>
    <xf numFmtId="0" fontId="17" fillId="10" borderId="9" xfId="0" applyFont="1" applyFill="1" applyBorder="1" applyAlignment="1">
      <alignment horizontal="center"/>
    </xf>
    <xf numFmtId="170" fontId="13" fillId="0" borderId="0" xfId="0" applyNumberFormat="1" applyFont="1"/>
    <xf numFmtId="168" fontId="6" fillId="0" borderId="0" xfId="0" applyNumberFormat="1" applyFont="1" applyFill="1" applyBorder="1" applyAlignment="1" applyProtection="1">
      <alignment horizontal="right"/>
      <protection locked="0"/>
    </xf>
    <xf numFmtId="0" fontId="4" fillId="14" borderId="0" xfId="0" applyFont="1" applyFill="1" applyBorder="1"/>
    <xf numFmtId="0" fontId="13" fillId="13" borderId="0" xfId="0" applyFont="1" applyFill="1"/>
    <xf numFmtId="165" fontId="13" fillId="13" borderId="0" xfId="0" applyNumberFormat="1" applyFont="1" applyFill="1" applyBorder="1"/>
    <xf numFmtId="165" fontId="6" fillId="13" borderId="9" xfId="2" applyNumberFormat="1" applyFont="1" applyFill="1" applyBorder="1" applyAlignment="1" applyProtection="1">
      <protection locked="0"/>
    </xf>
    <xf numFmtId="165" fontId="6" fillId="13" borderId="0" xfId="2" applyNumberFormat="1" applyFont="1" applyFill="1" applyBorder="1" applyAlignment="1" applyProtection="1">
      <protection locked="0"/>
    </xf>
    <xf numFmtId="3" fontId="6" fillId="13" borderId="0" xfId="2" applyNumberFormat="1" applyFont="1" applyFill="1" applyBorder="1" applyAlignment="1" applyProtection="1">
      <protection locked="0"/>
    </xf>
    <xf numFmtId="166" fontId="5" fillId="13" borderId="3" xfId="2" applyNumberFormat="1" applyFont="1" applyFill="1" applyBorder="1" applyAlignment="1" applyProtection="1">
      <alignment vertical="center"/>
      <protection locked="0"/>
    </xf>
    <xf numFmtId="165" fontId="13" fillId="13" borderId="0" xfId="2" applyNumberFormat="1" applyFont="1" applyFill="1" applyBorder="1"/>
    <xf numFmtId="169" fontId="5" fillId="14" borderId="3" xfId="2" applyNumberFormat="1" applyFont="1" applyFill="1" applyBorder="1" applyProtection="1">
      <protection locked="0"/>
    </xf>
    <xf numFmtId="165" fontId="13" fillId="13" borderId="0" xfId="2" applyNumberFormat="1" applyFont="1" applyFill="1"/>
    <xf numFmtId="168" fontId="6" fillId="13" borderId="0" xfId="0" applyNumberFormat="1" applyFont="1" applyFill="1" applyBorder="1" applyAlignment="1" applyProtection="1">
      <alignment horizontal="right"/>
      <protection locked="0"/>
    </xf>
    <xf numFmtId="0" fontId="0" fillId="13" borderId="0" xfId="0" applyFill="1"/>
    <xf numFmtId="3" fontId="18" fillId="0" borderId="0" xfId="0" applyNumberFormat="1" applyFont="1"/>
    <xf numFmtId="10" fontId="13" fillId="0" borderId="0" xfId="3" applyNumberFormat="1" applyFont="1" applyBorder="1"/>
    <xf numFmtId="3" fontId="9" fillId="0" borderId="0" xfId="0" applyNumberFormat="1" applyFont="1" applyFill="1" applyBorder="1" applyAlignment="1" applyProtection="1">
      <alignment horizontal="right"/>
      <protection locked="0"/>
    </xf>
    <xf numFmtId="10" fontId="13" fillId="13" borderId="0" xfId="3" applyNumberFormat="1" applyFont="1" applyFill="1" applyBorder="1"/>
    <xf numFmtId="3" fontId="9" fillId="13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3" fontId="18" fillId="0" borderId="0" xfId="0" applyNumberFormat="1" applyFont="1" applyBorder="1"/>
    <xf numFmtId="10" fontId="13" fillId="0" borderId="0" xfId="0" applyNumberFormat="1" applyFont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3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7" fillId="10" borderId="9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2" fillId="0" borderId="0" xfId="4" applyFont="1" applyFill="1" applyAlignment="1">
      <alignment horizontal="center" wrapText="1"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9" fillId="15" borderId="25" xfId="2" applyNumberFormat="1" applyFont="1" applyFill="1" applyBorder="1"/>
    <xf numFmtId="0" fontId="7" fillId="0" borderId="0" xfId="0" applyFont="1"/>
    <xf numFmtId="0" fontId="20" fillId="0" borderId="0" xfId="0" applyFont="1"/>
    <xf numFmtId="3" fontId="14" fillId="0" borderId="0" xfId="0" applyNumberFormat="1" applyFont="1"/>
    <xf numFmtId="3" fontId="7" fillId="0" borderId="0" xfId="0" applyNumberFormat="1" applyFont="1"/>
    <xf numFmtId="3" fontId="22" fillId="13" borderId="0" xfId="0" applyNumberFormat="1" applyFont="1" applyFill="1"/>
    <xf numFmtId="171" fontId="21" fillId="13" borderId="0" xfId="0" applyNumberFormat="1" applyFont="1" applyFill="1"/>
  </cellXfs>
  <cellStyles count="6">
    <cellStyle name="Millares" xfId="2" builtinId="3"/>
    <cellStyle name="Moneda" xfId="1" builtinId="4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acción</a:t>
            </a:r>
          </a:p>
        </c:rich>
      </c:tx>
      <c:layout>
        <c:manualLayout>
          <c:xMode val="edge"/>
          <c:yMode val="edge"/>
          <c:x val="0.5778193350831145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45949256342957"/>
          <c:y val="0.13467592592592595"/>
          <c:w val="0.83835761154855648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'desagregado quincenal'!$C$47:$CT$47</c:f>
              <c:numCache>
                <c:formatCode>#,##0</c:formatCode>
                <c:ptCount val="96"/>
                <c:pt idx="0">
                  <c:v>22405.066625836513</c:v>
                </c:pt>
                <c:pt idx="1">
                  <c:v>25606.106838047846</c:v>
                </c:pt>
                <c:pt idx="2">
                  <c:v>28685.846868997432</c:v>
                </c:pt>
                <c:pt idx="3">
                  <c:v>32695.874970398105</c:v>
                </c:pt>
                <c:pt idx="4">
                  <c:v>34275.172374103255</c:v>
                </c:pt>
                <c:pt idx="5">
                  <c:v>35288.527103165259</c:v>
                </c:pt>
                <c:pt idx="6">
                  <c:v>35659.914285123377</c:v>
                </c:pt>
                <c:pt idx="7">
                  <c:v>36035.209325140087</c:v>
                </c:pt>
                <c:pt idx="8">
                  <c:v>36414.453327828734</c:v>
                </c:pt>
                <c:pt idx="9">
                  <c:v>38112.841777476198</c:v>
                </c:pt>
                <c:pt idx="10">
                  <c:v>38481.729655945201</c:v>
                </c:pt>
                <c:pt idx="11">
                  <c:v>38854.18899217173</c:v>
                </c:pt>
                <c:pt idx="12">
                  <c:v>39230.254384898079</c:v>
                </c:pt>
                <c:pt idx="13">
                  <c:v>39611.589631048839</c:v>
                </c:pt>
                <c:pt idx="14">
                  <c:v>39996.656644302122</c:v>
                </c:pt>
                <c:pt idx="15">
                  <c:v>40385.492664924823</c:v>
                </c:pt>
                <c:pt idx="16">
                  <c:v>41449.799039706144</c:v>
                </c:pt>
                <c:pt idx="17">
                  <c:v>41835.203434485054</c:v>
                </c:pt>
                <c:pt idx="18">
                  <c:v>42224.219211873111</c:v>
                </c:pt>
                <c:pt idx="19">
                  <c:v>42611.476745489555</c:v>
                </c:pt>
                <c:pt idx="20">
                  <c:v>43007.690643594746</c:v>
                </c:pt>
                <c:pt idx="21">
                  <c:v>43407.617447236233</c:v>
                </c:pt>
                <c:pt idx="22">
                  <c:v>43811.292783244404</c:v>
                </c:pt>
                <c:pt idx="23">
                  <c:v>44218.752648754482</c:v>
                </c:pt>
                <c:pt idx="24">
                  <c:v>44826.695763477597</c:v>
                </c:pt>
                <c:pt idx="25">
                  <c:v>45225.659087774242</c:v>
                </c:pt>
                <c:pt idx="26">
                  <c:v>45628.614277937522</c:v>
                </c:pt>
                <c:pt idx="27">
                  <c:v>46035.576965746826</c:v>
                </c:pt>
                <c:pt idx="28">
                  <c:v>46463.29331072334</c:v>
                </c:pt>
                <c:pt idx="29">
                  <c:v>46895.008351444201</c:v>
                </c:pt>
                <c:pt idx="30">
                  <c:v>47330.760148226655</c:v>
                </c:pt>
                <c:pt idx="31">
                  <c:v>47770.587145101352</c:v>
                </c:pt>
                <c:pt idx="32">
                  <c:v>48214.528174477222</c:v>
                </c:pt>
                <c:pt idx="33">
                  <c:v>48662.622461896623</c:v>
                </c:pt>
                <c:pt idx="34">
                  <c:v>49114.909630884213</c:v>
                </c:pt>
                <c:pt idx="35">
                  <c:v>49571.429707892908</c:v>
                </c:pt>
                <c:pt idx="36">
                  <c:v>50032.223127350342</c:v>
                </c:pt>
                <c:pt idx="37">
                  <c:v>50422.638624777937</c:v>
                </c:pt>
                <c:pt idx="38">
                  <c:v>50892.74643581389</c:v>
                </c:pt>
                <c:pt idx="39">
                  <c:v>51367.29966163537</c:v>
                </c:pt>
                <c:pt idx="40">
                  <c:v>51846.342498882565</c:v>
                </c:pt>
                <c:pt idx="41">
                  <c:v>52329.919675546531</c:v>
                </c:pt>
                <c:pt idx="42">
                  <c:v>53525.878876821349</c:v>
                </c:pt>
                <c:pt idx="43">
                  <c:v>54002.453241754192</c:v>
                </c:pt>
                <c:pt idx="44">
                  <c:v>54483.343263877257</c:v>
                </c:pt>
                <c:pt idx="45">
                  <c:v>54968.590601043732</c:v>
                </c:pt>
                <c:pt idx="46">
                  <c:v>55458.237427731416</c:v>
                </c:pt>
                <c:pt idx="47">
                  <c:v>55952.326447565982</c:v>
                </c:pt>
                <c:pt idx="48">
                  <c:v>56790.640904019434</c:v>
                </c:pt>
                <c:pt idx="49">
                  <c:v>57153.355254287948</c:v>
                </c:pt>
                <c:pt idx="50">
                  <c:v>57638.44988249262</c:v>
                </c:pt>
                <c:pt idx="51">
                  <c:v>58128.222176187119</c:v>
                </c:pt>
                <c:pt idx="52">
                  <c:v>58644.228198453857</c:v>
                </c:pt>
                <c:pt idx="53">
                  <c:v>59164.85708220752</c:v>
                </c:pt>
                <c:pt idx="54">
                  <c:v>59690.151481049375</c:v>
                </c:pt>
                <c:pt idx="55">
                  <c:v>60220.154485543018</c:v>
                </c:pt>
                <c:pt idx="56">
                  <c:v>61476.420154954765</c:v>
                </c:pt>
                <c:pt idx="57">
                  <c:v>61996.289764904788</c:v>
                </c:pt>
                <c:pt idx="58">
                  <c:v>62520.604073803122</c:v>
                </c:pt>
                <c:pt idx="59">
                  <c:v>63049.402527865037</c:v>
                </c:pt>
                <c:pt idx="60">
                  <c:v>63582.724975845151</c:v>
                </c:pt>
                <c:pt idx="61">
                  <c:v>64013.128741280583</c:v>
                </c:pt>
                <c:pt idx="62">
                  <c:v>65087.656907453296</c:v>
                </c:pt>
                <c:pt idx="63">
                  <c:v>65611.961274635381</c:v>
                </c:pt>
                <c:pt idx="64">
                  <c:v>66140.576040059052</c:v>
                </c:pt>
                <c:pt idx="65">
                  <c:v>66673.539731233308</c:v>
                </c:pt>
                <c:pt idx="66">
                  <c:v>67210.891359669971</c:v>
                </c:pt>
                <c:pt idx="67">
                  <c:v>67752.670434531639</c:v>
                </c:pt>
                <c:pt idx="68">
                  <c:v>68744.687769456184</c:v>
                </c:pt>
                <c:pt idx="69">
                  <c:v>69269.797378702919</c:v>
                </c:pt>
                <c:pt idx="70">
                  <c:v>69799.023183232814</c:v>
                </c:pt>
                <c:pt idx="71">
                  <c:v>70332.401398234724</c:v>
                </c:pt>
                <c:pt idx="72">
                  <c:v>71911.805121688609</c:v>
                </c:pt>
                <c:pt idx="73">
                  <c:v>72399.137574388224</c:v>
                </c:pt>
                <c:pt idx="74">
                  <c:v>72890.830385021574</c:v>
                </c:pt>
                <c:pt idx="75">
                  <c:v>73386.837107368323</c:v>
                </c:pt>
                <c:pt idx="76">
                  <c:v>73917.009094049412</c:v>
                </c:pt>
                <c:pt idx="77">
                  <c:v>74921.43510359076</c:v>
                </c:pt>
                <c:pt idx="78">
                  <c:v>75431.049221199719</c:v>
                </c:pt>
                <c:pt idx="79">
                  <c:v>75944.269350024188</c:v>
                </c:pt>
                <c:pt idx="80">
                  <c:v>76875.483682016944</c:v>
                </c:pt>
                <c:pt idx="81">
                  <c:v>77366.065996234029</c:v>
                </c:pt>
                <c:pt idx="82">
                  <c:v>77859.930371193812</c:v>
                </c:pt>
                <c:pt idx="83">
                  <c:v>78707.76597130594</c:v>
                </c:pt>
                <c:pt idx="84">
                  <c:v>79176.957415137193</c:v>
                </c:pt>
                <c:pt idx="85">
                  <c:v>79653.656929786564</c:v>
                </c:pt>
                <c:pt idx="86">
                  <c:v>80418.254097512443</c:v>
                </c:pt>
                <c:pt idx="87">
                  <c:v>80868.562053208312</c:v>
                </c:pt>
                <c:pt idx="88">
                  <c:v>81321.820261833913</c:v>
                </c:pt>
                <c:pt idx="89">
                  <c:v>81778.078335969403</c:v>
                </c:pt>
                <c:pt idx="90">
                  <c:v>82423.611166949879</c:v>
                </c:pt>
                <c:pt idx="91">
                  <c:v>82851.391908783276</c:v>
                </c:pt>
                <c:pt idx="92">
                  <c:v>83281.927016586575</c:v>
                </c:pt>
                <c:pt idx="93">
                  <c:v>83715.277027520235</c:v>
                </c:pt>
                <c:pt idx="94">
                  <c:v>84219.87124793703</c:v>
                </c:pt>
                <c:pt idx="95">
                  <c:v>84622.770847518317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0-4F2D-8732-0497187AC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775935"/>
        <c:axId val="411775103"/>
      </c:lineChart>
      <c:catAx>
        <c:axId val="411775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775103"/>
        <c:crosses val="autoZero"/>
        <c:auto val="1"/>
        <c:lblAlgn val="ctr"/>
        <c:lblOffset val="100"/>
        <c:noMultiLvlLbl val="0"/>
      </c:catAx>
      <c:valAx>
        <c:axId val="41177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1775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341312</xdr:colOff>
      <xdr:row>59</xdr:row>
      <xdr:rowOff>168275</xdr:rowOff>
    </xdr:from>
    <xdr:to>
      <xdr:col>4</xdr:col>
      <xdr:colOff>87312</xdr:colOff>
      <xdr:row>74</xdr:row>
      <xdr:rowOff>53975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87"/>
  <sheetViews>
    <sheetView topLeftCell="A67" workbookViewId="0">
      <selection activeCell="G70" sqref="G70"/>
    </sheetView>
  </sheetViews>
  <sheetFormatPr baseColWidth="10" defaultRowHeight="15" x14ac:dyDescent="0.25"/>
  <cols>
    <col min="2" max="2" width="30.5703125" customWidth="1"/>
    <col min="3" max="3" width="16.28515625" customWidth="1"/>
    <col min="4" max="4" width="17.85546875" bestFit="1" customWidth="1"/>
    <col min="5" max="5" width="13.5703125" bestFit="1" customWidth="1"/>
    <col min="6" max="6" width="16.28515625" bestFit="1" customWidth="1"/>
    <col min="7" max="7" width="13.5703125" bestFit="1" customWidth="1"/>
    <col min="8" max="13" width="14" customWidth="1"/>
    <col min="14" max="14" width="16" customWidth="1"/>
    <col min="16" max="16" width="13.5703125" bestFit="1" customWidth="1"/>
    <col min="18" max="18" width="13.5703125" bestFit="1" customWidth="1"/>
  </cols>
  <sheetData>
    <row r="7" spans="1:14" x14ac:dyDescent="0.25">
      <c r="A7" s="21"/>
    </row>
    <row r="10" spans="1:14" x14ac:dyDescent="0.25">
      <c r="N10" t="s">
        <v>46</v>
      </c>
    </row>
    <row r="11" spans="1:14" x14ac:dyDescent="0.25">
      <c r="E11">
        <f>1200*3</f>
        <v>3600</v>
      </c>
      <c r="F11" t="s">
        <v>35</v>
      </c>
    </row>
    <row r="13" spans="1:14" x14ac:dyDescent="0.25">
      <c r="B13" t="s">
        <v>36</v>
      </c>
      <c r="C13" t="s">
        <v>1</v>
      </c>
      <c r="D13" t="s">
        <v>32</v>
      </c>
    </row>
    <row r="14" spans="1:14" x14ac:dyDescent="0.25">
      <c r="B14" s="24">
        <f>+'2) Parámetros y áreas'!F16</f>
        <v>37952</v>
      </c>
      <c r="C14" s="22">
        <f>+Mercado!G13</f>
        <v>43672.813060819841</v>
      </c>
      <c r="D14" s="22">
        <f>+B14*C14</f>
        <v>1657470601.2842345</v>
      </c>
    </row>
    <row r="15" spans="1:14" x14ac:dyDescent="0.25">
      <c r="B15" s="24">
        <f>+E11</f>
        <v>3600</v>
      </c>
      <c r="C15" s="22">
        <f>C14/2</f>
        <v>21836.40653040992</v>
      </c>
      <c r="D15" s="22">
        <f>+B15*C15</f>
        <v>78611063.509475708</v>
      </c>
    </row>
    <row r="16" spans="1:14" ht="15.75" thickBot="1" x14ac:dyDescent="0.3">
      <c r="D16" s="25">
        <f>+D14+D15</f>
        <v>1736081664.7937102</v>
      </c>
    </row>
    <row r="17" spans="2:13" ht="15.75" thickBot="1" x14ac:dyDescent="0.3">
      <c r="D17" s="26">
        <f>D16/180</f>
        <v>9644898.1377428342</v>
      </c>
    </row>
    <row r="20" spans="2:13" ht="20.25" x14ac:dyDescent="0.3">
      <c r="B20" s="94" t="s">
        <v>123</v>
      </c>
    </row>
    <row r="21" spans="2:13" ht="20.25" x14ac:dyDescent="0.3">
      <c r="B21" s="94" t="s">
        <v>100</v>
      </c>
    </row>
    <row r="25" spans="2:13" x14ac:dyDescent="0.25">
      <c r="C25" s="69" t="s">
        <v>68</v>
      </c>
      <c r="D25" s="229" t="s">
        <v>69</v>
      </c>
      <c r="E25" s="230"/>
      <c r="F25" s="229" t="s">
        <v>70</v>
      </c>
      <c r="G25" s="230"/>
      <c r="H25" s="229" t="s">
        <v>71</v>
      </c>
      <c r="I25" s="230"/>
      <c r="J25" s="229" t="s">
        <v>82</v>
      </c>
      <c r="K25" s="230"/>
      <c r="L25" s="96"/>
    </row>
    <row r="26" spans="2:13" x14ac:dyDescent="0.25">
      <c r="C26" s="70" t="s">
        <v>40</v>
      </c>
      <c r="D26" s="71" t="s">
        <v>41</v>
      </c>
      <c r="E26" s="72" t="s">
        <v>42</v>
      </c>
      <c r="F26" s="71" t="s">
        <v>43</v>
      </c>
      <c r="G26" s="72" t="s">
        <v>44</v>
      </c>
      <c r="H26" s="71" t="s">
        <v>45</v>
      </c>
      <c r="I26" s="72" t="s">
        <v>47</v>
      </c>
      <c r="J26" s="71" t="s">
        <v>107</v>
      </c>
      <c r="K26" s="72" t="s">
        <v>108</v>
      </c>
      <c r="L26" s="71" t="s">
        <v>110</v>
      </c>
    </row>
    <row r="27" spans="2:13" x14ac:dyDescent="0.25">
      <c r="B27" t="s">
        <v>50</v>
      </c>
      <c r="C27" s="62"/>
      <c r="D27" s="64"/>
      <c r="E27" s="65"/>
      <c r="F27" s="64"/>
      <c r="G27" s="65"/>
      <c r="H27" s="64"/>
      <c r="I27" s="65"/>
      <c r="J27" s="64"/>
      <c r="K27" s="65"/>
      <c r="L27" s="33"/>
    </row>
    <row r="28" spans="2:13" x14ac:dyDescent="0.25">
      <c r="B28" t="s">
        <v>51</v>
      </c>
      <c r="C28" s="62"/>
      <c r="D28" s="66">
        <f>+'2) Parámetros y áreas'!$D$24*0.33</f>
        <v>112413820.81855026</v>
      </c>
      <c r="E28" s="65">
        <f>+'2) Parámetros y áreas'!$D$24*0.33</f>
        <v>112413820.81855026</v>
      </c>
      <c r="F28" s="65">
        <f>+'2) Parámetros y áreas'!$D$24*0.34</f>
        <v>115820300.23729421</v>
      </c>
      <c r="G28" s="65"/>
      <c r="H28" s="66"/>
      <c r="I28" s="65"/>
      <c r="J28" s="66"/>
      <c r="K28" s="65"/>
      <c r="L28" s="33"/>
    </row>
    <row r="29" spans="2:13" x14ac:dyDescent="0.25">
      <c r="B29" t="s">
        <v>2</v>
      </c>
      <c r="C29" s="62"/>
      <c r="D29" s="66">
        <f>+'2) Parámetros y áreas'!$D$30*0.3</f>
        <v>34113580.799999997</v>
      </c>
      <c r="E29" s="66">
        <f>+'2) Parámetros y áreas'!$D$30*0.3</f>
        <v>34113580.799999997</v>
      </c>
      <c r="F29" s="66">
        <f>+'2) Parámetros y áreas'!$D$30*0.4</f>
        <v>45484774.400000006</v>
      </c>
      <c r="G29" s="65"/>
      <c r="H29" s="66"/>
      <c r="I29" s="65"/>
      <c r="J29" s="66"/>
      <c r="K29" s="65"/>
      <c r="L29" s="33"/>
    </row>
    <row r="30" spans="2:13" x14ac:dyDescent="0.25">
      <c r="C30" s="62"/>
      <c r="D30" s="66"/>
      <c r="E30" s="65"/>
      <c r="F30" s="66"/>
      <c r="G30" s="65"/>
      <c r="H30" s="66"/>
      <c r="I30" s="65"/>
      <c r="J30" s="66"/>
      <c r="K30" s="65"/>
      <c r="L30" s="33"/>
      <c r="M30" s="33"/>
    </row>
    <row r="31" spans="2:13" x14ac:dyDescent="0.25">
      <c r="B31" t="s">
        <v>52</v>
      </c>
      <c r="C31" s="62"/>
      <c r="D31" s="66"/>
      <c r="E31" s="65"/>
      <c r="F31" s="66"/>
      <c r="G31" s="65"/>
      <c r="H31" s="66"/>
      <c r="I31" s="65"/>
      <c r="J31" s="66"/>
      <c r="K31" s="65"/>
      <c r="L31" s="33"/>
      <c r="M31" s="33"/>
    </row>
    <row r="32" spans="2:13" x14ac:dyDescent="0.25">
      <c r="B32" t="s">
        <v>51</v>
      </c>
      <c r="C32" s="62"/>
      <c r="D32" s="66"/>
      <c r="E32" s="65"/>
      <c r="F32" s="66">
        <f>+'2) Parámetros y áreas'!$D$24*0.33</f>
        <v>112413820.81855026</v>
      </c>
      <c r="G32" s="65">
        <f>+'2) Parámetros y áreas'!$D$24*0.33</f>
        <v>112413820.81855026</v>
      </c>
      <c r="H32" s="65">
        <f>+'2) Parámetros y áreas'!$D$24*0.34</f>
        <v>115820300.23729421</v>
      </c>
      <c r="I32" s="65"/>
      <c r="J32" s="66"/>
      <c r="K32" s="65"/>
      <c r="L32" s="33"/>
      <c r="M32" s="33"/>
    </row>
    <row r="33" spans="2:13" x14ac:dyDescent="0.25">
      <c r="B33" t="s">
        <v>2</v>
      </c>
      <c r="C33" s="62"/>
      <c r="D33" s="66"/>
      <c r="E33" s="65"/>
      <c r="F33" s="66">
        <f>+'2) Parámetros y áreas'!$D$30*0.3</f>
        <v>34113580.799999997</v>
      </c>
      <c r="G33" s="66">
        <f>+'2) Parámetros y áreas'!$D$30*0.3</f>
        <v>34113580.799999997</v>
      </c>
      <c r="H33" s="66">
        <f>+'2) Parámetros y áreas'!$D$30*0.4</f>
        <v>45484774.400000006</v>
      </c>
      <c r="I33" s="65"/>
      <c r="J33" s="66"/>
      <c r="K33" s="65"/>
      <c r="L33" s="33"/>
      <c r="M33" s="33"/>
    </row>
    <row r="34" spans="2:13" x14ac:dyDescent="0.25">
      <c r="C34" s="62"/>
      <c r="D34" s="66"/>
      <c r="E34" s="65"/>
      <c r="F34" s="66"/>
      <c r="G34" s="65"/>
      <c r="H34" s="66"/>
      <c r="I34" s="65"/>
      <c r="J34" s="66"/>
      <c r="K34" s="65"/>
      <c r="L34" s="33"/>
      <c r="M34" s="33"/>
    </row>
    <row r="35" spans="2:13" x14ac:dyDescent="0.25">
      <c r="B35" t="s">
        <v>53</v>
      </c>
      <c r="C35" s="62"/>
      <c r="D35" s="66"/>
      <c r="E35" s="65"/>
      <c r="F35" s="66"/>
      <c r="G35" s="65"/>
      <c r="H35" s="66"/>
      <c r="I35" s="65"/>
      <c r="J35" s="66"/>
      <c r="K35" s="65"/>
      <c r="L35" s="33"/>
      <c r="M35" s="33"/>
    </row>
    <row r="36" spans="2:13" x14ac:dyDescent="0.25">
      <c r="B36" t="s">
        <v>51</v>
      </c>
      <c r="C36" s="62"/>
      <c r="D36" s="66"/>
      <c r="E36" s="65"/>
      <c r="F36" s="66"/>
      <c r="G36" s="65"/>
      <c r="H36" s="66">
        <f>+'2) Parámetros y áreas'!$D$24*0.33</f>
        <v>112413820.81855026</v>
      </c>
      <c r="I36" s="65">
        <f>+'2) Parámetros y áreas'!$D$24*0.33</f>
        <v>112413820.81855026</v>
      </c>
      <c r="J36" s="65">
        <f>+'2) Parámetros y áreas'!$D$24*0.34</f>
        <v>115820300.23729421</v>
      </c>
      <c r="K36" s="95"/>
      <c r="L36" s="35"/>
      <c r="M36" s="33"/>
    </row>
    <row r="37" spans="2:13" x14ac:dyDescent="0.25">
      <c r="B37" t="s">
        <v>2</v>
      </c>
      <c r="C37" s="62"/>
      <c r="D37" s="66"/>
      <c r="E37" s="65"/>
      <c r="F37" s="66"/>
      <c r="G37" s="65"/>
      <c r="H37" s="66">
        <f>+'2) Parámetros y áreas'!$D$30*0.3</f>
        <v>34113580.799999997</v>
      </c>
      <c r="I37" s="66">
        <f>+'2) Parámetros y áreas'!$D$30*0.3</f>
        <v>34113580.799999997</v>
      </c>
      <c r="J37" s="66">
        <f>+'2) Parámetros y áreas'!$D$30*0.4</f>
        <v>45484774.400000006</v>
      </c>
      <c r="K37" s="95"/>
      <c r="L37" s="35"/>
      <c r="M37" s="33"/>
    </row>
    <row r="38" spans="2:13" x14ac:dyDescent="0.25">
      <c r="C38" s="62"/>
      <c r="D38" s="66"/>
      <c r="E38" s="65"/>
      <c r="F38" s="66"/>
      <c r="G38" s="65"/>
      <c r="H38" s="66"/>
      <c r="I38" s="65"/>
      <c r="J38" s="66"/>
      <c r="K38" s="65"/>
      <c r="L38" s="33"/>
      <c r="M38" s="33"/>
    </row>
    <row r="39" spans="2:13" x14ac:dyDescent="0.25">
      <c r="B39" t="s">
        <v>101</v>
      </c>
      <c r="C39" s="62"/>
      <c r="D39" s="66"/>
      <c r="E39" s="65"/>
      <c r="F39" s="66"/>
      <c r="G39" s="65"/>
      <c r="H39" s="66"/>
      <c r="I39" s="65"/>
      <c r="J39" s="66"/>
      <c r="K39" s="65"/>
      <c r="L39" s="33"/>
      <c r="M39" s="33"/>
    </row>
    <row r="40" spans="2:13" x14ac:dyDescent="0.25">
      <c r="B40" t="s">
        <v>51</v>
      </c>
      <c r="C40" s="62"/>
      <c r="D40" s="66"/>
      <c r="E40" s="65"/>
      <c r="F40" s="66"/>
      <c r="G40" s="65"/>
      <c r="H40" s="66"/>
      <c r="I40" s="65"/>
      <c r="J40" s="66">
        <f>+'2) Parámetros y áreas'!$D$24*0.33</f>
        <v>112413820.81855026</v>
      </c>
      <c r="K40" s="65">
        <f>+'2) Parámetros y áreas'!$D$24*0.33</f>
        <v>112413820.81855026</v>
      </c>
      <c r="L40" s="65">
        <f>+'2) Parámetros y áreas'!$D$24*0.34</f>
        <v>115820300.23729421</v>
      </c>
      <c r="M40" s="33"/>
    </row>
    <row r="41" spans="2:13" x14ac:dyDescent="0.25">
      <c r="B41" t="s">
        <v>2</v>
      </c>
      <c r="C41" s="62"/>
      <c r="D41" s="66"/>
      <c r="E41" s="65"/>
      <c r="F41" s="66"/>
      <c r="G41" s="65"/>
      <c r="H41" s="66"/>
      <c r="I41" s="65"/>
      <c r="J41" s="66">
        <f>+'2) Parámetros y áreas'!$D$30*0.3</f>
        <v>34113580.799999997</v>
      </c>
      <c r="K41" s="66">
        <f>+'2) Parámetros y áreas'!$D$30*0.3</f>
        <v>34113580.799999997</v>
      </c>
      <c r="L41" s="66">
        <f>+'2) Parámetros y áreas'!$D$30*0.4</f>
        <v>45484774.400000006</v>
      </c>
      <c r="M41" s="33"/>
    </row>
    <row r="42" spans="2:13" x14ac:dyDescent="0.25">
      <c r="C42" s="62"/>
      <c r="D42" s="66"/>
      <c r="E42" s="65"/>
      <c r="F42" s="66"/>
      <c r="G42" s="65"/>
      <c r="H42" s="66"/>
      <c r="I42" s="65"/>
      <c r="J42" s="66"/>
      <c r="K42" s="65"/>
      <c r="L42" s="33"/>
      <c r="M42" s="33"/>
    </row>
    <row r="43" spans="2:13" ht="15.75" thickBot="1" x14ac:dyDescent="0.3">
      <c r="B43" s="97" t="s">
        <v>109</v>
      </c>
      <c r="C43" s="98"/>
      <c r="D43" s="99">
        <f>+D28</f>
        <v>112413820.81855026</v>
      </c>
      <c r="E43" s="99">
        <f>+E28</f>
        <v>112413820.81855026</v>
      </c>
      <c r="F43" s="99">
        <f>+F28+F32</f>
        <v>228234121.05584449</v>
      </c>
      <c r="G43" s="99">
        <f>+G28+G32</f>
        <v>112413820.81855026</v>
      </c>
      <c r="H43" s="99">
        <f>+H28+H32+H36</f>
        <v>228234121.05584449</v>
      </c>
      <c r="I43" s="99">
        <f>+I28+I32+I36</f>
        <v>112413820.81855026</v>
      </c>
      <c r="J43" s="99">
        <f>+J28+J32+J36+J40</f>
        <v>228234121.05584449</v>
      </c>
      <c r="K43" s="99">
        <f>+K28+K32+K36+K40</f>
        <v>112413820.81855026</v>
      </c>
      <c r="L43" s="99">
        <f>+L28+L32+L36+L40</f>
        <v>115820300.23729421</v>
      </c>
      <c r="M43" s="33"/>
    </row>
    <row r="44" spans="2:13" ht="15.75" thickBot="1" x14ac:dyDescent="0.3">
      <c r="B44" s="97" t="s">
        <v>112</v>
      </c>
      <c r="C44" s="98"/>
      <c r="D44" s="99">
        <f>+D29</f>
        <v>34113580.799999997</v>
      </c>
      <c r="E44" s="99">
        <f>+E29</f>
        <v>34113580.799999997</v>
      </c>
      <c r="F44" s="99">
        <f>+F29+F33</f>
        <v>79598355.200000003</v>
      </c>
      <c r="G44" s="99">
        <f>+G29+G33</f>
        <v>34113580.799999997</v>
      </c>
      <c r="H44" s="99">
        <f>+H33+H37</f>
        <v>79598355.200000003</v>
      </c>
      <c r="I44" s="99">
        <f>+I33+I37</f>
        <v>34113580.799999997</v>
      </c>
      <c r="J44" s="99">
        <f>+J33+J37+J41</f>
        <v>79598355.200000003</v>
      </c>
      <c r="K44" s="99">
        <f>+K33+K37+K41</f>
        <v>34113580.799999997</v>
      </c>
      <c r="L44" s="99">
        <f>+L33+L37+L41</f>
        <v>45484774.400000006</v>
      </c>
      <c r="M44" s="33"/>
    </row>
    <row r="45" spans="2:13" x14ac:dyDescent="0.25">
      <c r="B45" t="s">
        <v>33</v>
      </c>
      <c r="C45" s="63">
        <f>-'2) Parámetros y áreas'!D9/4</f>
        <v>-50034375</v>
      </c>
      <c r="D45" s="67"/>
      <c r="E45" s="68">
        <f>+C45*1.1</f>
        <v>-55037812.500000007</v>
      </c>
      <c r="F45" s="67"/>
      <c r="G45" s="68">
        <f>+E45*1.1</f>
        <v>-60541593.750000015</v>
      </c>
      <c r="H45" s="67">
        <v>0</v>
      </c>
      <c r="I45" s="68">
        <f>+G45*1.1</f>
        <v>-66595753.125000022</v>
      </c>
      <c r="J45" s="67"/>
      <c r="K45" s="68"/>
      <c r="L45" s="68"/>
      <c r="M45" s="33"/>
    </row>
    <row r="46" spans="2:13" x14ac:dyDescent="0.2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8" spans="2:13" x14ac:dyDescent="0.25">
      <c r="B48" s="40" t="s">
        <v>102</v>
      </c>
      <c r="C48" s="46">
        <v>0</v>
      </c>
      <c r="D48" s="46">
        <v>1</v>
      </c>
      <c r="E48" s="46">
        <v>2</v>
      </c>
      <c r="F48" s="46">
        <v>3</v>
      </c>
      <c r="G48" s="46">
        <v>4</v>
      </c>
      <c r="H48" s="46">
        <v>5</v>
      </c>
      <c r="I48" s="46">
        <v>6</v>
      </c>
      <c r="J48" s="46">
        <v>7</v>
      </c>
      <c r="K48" s="46">
        <v>8</v>
      </c>
      <c r="L48" s="46">
        <v>9</v>
      </c>
      <c r="M48" s="46" t="s">
        <v>32</v>
      </c>
    </row>
    <row r="49" spans="1:13" x14ac:dyDescent="0.25">
      <c r="B49" s="89" t="s">
        <v>95</v>
      </c>
      <c r="C49" s="81"/>
      <c r="D49" s="81">
        <f>+SUM(D50:D51)</f>
        <v>134913820.81855026</v>
      </c>
      <c r="E49" s="81">
        <f t="shared" ref="E49:L49" si="0">+SUM(E50:E51)</f>
        <v>179913820.81855026</v>
      </c>
      <c r="F49" s="81">
        <f t="shared" si="0"/>
        <v>250734121.05584449</v>
      </c>
      <c r="G49" s="81">
        <f t="shared" si="0"/>
        <v>179913820.81855026</v>
      </c>
      <c r="H49" s="81">
        <f t="shared" si="0"/>
        <v>250734121.05584449</v>
      </c>
      <c r="I49" s="81">
        <f t="shared" si="0"/>
        <v>179913820.81855026</v>
      </c>
      <c r="J49" s="81">
        <f t="shared" si="0"/>
        <v>250734121.05584449</v>
      </c>
      <c r="K49" s="81">
        <f t="shared" si="0"/>
        <v>179913820.81855026</v>
      </c>
      <c r="L49" s="81">
        <f t="shared" si="0"/>
        <v>115820300.23729421</v>
      </c>
      <c r="M49" s="81">
        <f>+SUM(D49:L49)</f>
        <v>1722591767.4975791</v>
      </c>
    </row>
    <row r="50" spans="1:13" x14ac:dyDescent="0.25">
      <c r="B50" s="90" t="s">
        <v>92</v>
      </c>
      <c r="D50" s="48">
        <f>+D43</f>
        <v>112413820.81855026</v>
      </c>
      <c r="E50" s="48">
        <f t="shared" ref="E50:L50" si="1">+E43</f>
        <v>112413820.81855026</v>
      </c>
      <c r="F50" s="48">
        <f t="shared" si="1"/>
        <v>228234121.05584449</v>
      </c>
      <c r="G50" s="48">
        <f t="shared" si="1"/>
        <v>112413820.81855026</v>
      </c>
      <c r="H50" s="48">
        <f t="shared" si="1"/>
        <v>228234121.05584449</v>
      </c>
      <c r="I50" s="48">
        <f t="shared" si="1"/>
        <v>112413820.81855026</v>
      </c>
      <c r="J50" s="48">
        <f t="shared" si="1"/>
        <v>228234121.05584449</v>
      </c>
      <c r="K50" s="48">
        <f t="shared" si="1"/>
        <v>112413820.81855026</v>
      </c>
      <c r="L50" s="48">
        <f t="shared" si="1"/>
        <v>115820300.23729421</v>
      </c>
      <c r="M50" s="48">
        <f t="shared" ref="M50:M60" si="2">+SUM(D50:L50)</f>
        <v>1362591767.4975789</v>
      </c>
    </row>
    <row r="51" spans="1:13" x14ac:dyDescent="0.25">
      <c r="B51" s="90" t="s">
        <v>93</v>
      </c>
      <c r="D51" s="48">
        <f>+'2) Parámetros y áreas'!$K$18*1</f>
        <v>22500000</v>
      </c>
      <c r="E51" s="48">
        <f>+'2) Parámetros y áreas'!$K$18*3</f>
        <v>67500000</v>
      </c>
      <c r="F51" s="48">
        <f>+'2) Parámetros y áreas'!$K$18*1</f>
        <v>22500000</v>
      </c>
      <c r="G51" s="48">
        <f>+'2) Parámetros y áreas'!$K$18*3</f>
        <v>67500000</v>
      </c>
      <c r="H51" s="48">
        <f>+'2) Parámetros y áreas'!$K$18*1</f>
        <v>22500000</v>
      </c>
      <c r="I51" s="48">
        <f>+'2) Parámetros y áreas'!$K$18*3</f>
        <v>67500000</v>
      </c>
      <c r="J51" s="48">
        <f>+'2) Parámetros y áreas'!$K$18*1</f>
        <v>22500000</v>
      </c>
      <c r="K51" s="48">
        <f>+'2) Parámetros y áreas'!$K$18*3</f>
        <v>67500000</v>
      </c>
      <c r="L51" s="48"/>
      <c r="M51" s="48">
        <f t="shared" si="2"/>
        <v>360000000</v>
      </c>
    </row>
    <row r="52" spans="1:13" x14ac:dyDescent="0.25">
      <c r="B52" s="89" t="s">
        <v>96</v>
      </c>
      <c r="D52" s="81">
        <f>+SUM(D53:D55)</f>
        <v>80774580.799999997</v>
      </c>
      <c r="E52" s="81">
        <f t="shared" ref="E52:L52" si="3">+SUM(E53:E55)</f>
        <v>80774580.799999997</v>
      </c>
      <c r="F52" s="81">
        <f t="shared" si="3"/>
        <v>126259355.2</v>
      </c>
      <c r="G52" s="81">
        <f t="shared" si="3"/>
        <v>80774580.799999997</v>
      </c>
      <c r="H52" s="81">
        <f t="shared" si="3"/>
        <v>126259355.2</v>
      </c>
      <c r="I52" s="81">
        <f t="shared" si="3"/>
        <v>80774580.799999997</v>
      </c>
      <c r="J52" s="81">
        <f t="shared" si="3"/>
        <v>126259355.2</v>
      </c>
      <c r="K52" s="81">
        <f t="shared" si="3"/>
        <v>80774580.799999997</v>
      </c>
      <c r="L52" s="81">
        <f t="shared" si="3"/>
        <v>45484774.400000006</v>
      </c>
      <c r="M52" s="81">
        <f t="shared" si="2"/>
        <v>828135744</v>
      </c>
    </row>
    <row r="53" spans="1:13" x14ac:dyDescent="0.25">
      <c r="B53" s="90" t="s">
        <v>83</v>
      </c>
      <c r="D53" s="48">
        <f>+D44</f>
        <v>34113580.799999997</v>
      </c>
      <c r="E53" s="48">
        <f t="shared" ref="E53:L53" si="4">+E44</f>
        <v>34113580.799999997</v>
      </c>
      <c r="F53" s="48">
        <f t="shared" si="4"/>
        <v>79598355.200000003</v>
      </c>
      <c r="G53" s="48">
        <f t="shared" si="4"/>
        <v>34113580.799999997</v>
      </c>
      <c r="H53" s="48">
        <f t="shared" si="4"/>
        <v>79598355.200000003</v>
      </c>
      <c r="I53" s="48">
        <f t="shared" si="4"/>
        <v>34113580.799999997</v>
      </c>
      <c r="J53" s="48">
        <f t="shared" si="4"/>
        <v>79598355.200000003</v>
      </c>
      <c r="K53" s="48">
        <f t="shared" si="4"/>
        <v>34113580.799999997</v>
      </c>
      <c r="L53" s="48">
        <f t="shared" si="4"/>
        <v>45484774.400000006</v>
      </c>
      <c r="M53" s="48">
        <f t="shared" si="2"/>
        <v>454847744</v>
      </c>
    </row>
    <row r="54" spans="1:13" x14ac:dyDescent="0.25">
      <c r="B54" s="90" t="s">
        <v>84</v>
      </c>
      <c r="D54" s="48">
        <f>+('2) Parámetros y áreas'!$E$40+'2) Parámetros y áreas'!$E$41)/8</f>
        <v>1661000</v>
      </c>
      <c r="E54" s="48">
        <f>+('2) Parámetros y áreas'!$E$40+'2) Parámetros y áreas'!$E$41)/8</f>
        <v>1661000</v>
      </c>
      <c r="F54" s="48">
        <f>+('2) Parámetros y áreas'!$E$40+'2) Parámetros y áreas'!$E$41)/8</f>
        <v>1661000</v>
      </c>
      <c r="G54" s="48">
        <f>+('2) Parámetros y áreas'!$E$40+'2) Parámetros y áreas'!$E$41)/8</f>
        <v>1661000</v>
      </c>
      <c r="H54" s="48">
        <f>+('2) Parámetros y áreas'!$E$40+'2) Parámetros y áreas'!$E$41)/8</f>
        <v>1661000</v>
      </c>
      <c r="I54" s="48">
        <f>+('2) Parámetros y áreas'!$E$40+'2) Parámetros y áreas'!$E$41)/8</f>
        <v>1661000</v>
      </c>
      <c r="J54" s="48">
        <f>+('2) Parámetros y áreas'!$E$40+'2) Parámetros y áreas'!$E$41)/8</f>
        <v>1661000</v>
      </c>
      <c r="K54" s="48">
        <f>+('2) Parámetros y áreas'!$E$40+'2) Parámetros y áreas'!$E$41)/8</f>
        <v>1661000</v>
      </c>
      <c r="L54" s="48"/>
      <c r="M54" s="48">
        <f t="shared" si="2"/>
        <v>13288000</v>
      </c>
    </row>
    <row r="55" spans="1:13" x14ac:dyDescent="0.25">
      <c r="B55" s="41" t="s">
        <v>94</v>
      </c>
      <c r="D55" s="48">
        <f>+'2) Parámetros y áreas'!$K$18*2</f>
        <v>45000000</v>
      </c>
      <c r="E55" s="48">
        <f>+'2) Parámetros y áreas'!$K$18*2</f>
        <v>45000000</v>
      </c>
      <c r="F55" s="48">
        <f>+'2) Parámetros y áreas'!$K$18*2</f>
        <v>45000000</v>
      </c>
      <c r="G55" s="48">
        <f>+'2) Parámetros y áreas'!$K$18*2</f>
        <v>45000000</v>
      </c>
      <c r="H55" s="48">
        <f>+'2) Parámetros y áreas'!$K$18*2</f>
        <v>45000000</v>
      </c>
      <c r="I55" s="48">
        <f>+'2) Parámetros y áreas'!$K$18*2</f>
        <v>45000000</v>
      </c>
      <c r="J55" s="48">
        <f>+'2) Parámetros y áreas'!$K$18*2</f>
        <v>45000000</v>
      </c>
      <c r="K55" s="48">
        <f>+'2) Parámetros y áreas'!$K$18*2</f>
        <v>45000000</v>
      </c>
      <c r="L55" s="48"/>
      <c r="M55" s="48">
        <f t="shared" si="2"/>
        <v>360000000</v>
      </c>
    </row>
    <row r="56" spans="1:13" x14ac:dyDescent="0.25">
      <c r="A56" s="79">
        <v>0.02</v>
      </c>
      <c r="B56" s="41" t="s">
        <v>76</v>
      </c>
      <c r="D56" s="48">
        <f>D52*$A$56</f>
        <v>1615491.6159999999</v>
      </c>
      <c r="E56" s="48">
        <f t="shared" ref="E56:K56" si="5">E52*$A$56</f>
        <v>1615491.6159999999</v>
      </c>
      <c r="F56" s="48">
        <f t="shared" si="5"/>
        <v>2525187.1040000003</v>
      </c>
      <c r="G56" s="48">
        <f t="shared" si="5"/>
        <v>1615491.6159999999</v>
      </c>
      <c r="H56" s="48">
        <f t="shared" si="5"/>
        <v>2525187.1040000003</v>
      </c>
      <c r="I56" s="48">
        <f t="shared" si="5"/>
        <v>1615491.6159999999</v>
      </c>
      <c r="J56" s="48">
        <f t="shared" si="5"/>
        <v>2525187.1040000003</v>
      </c>
      <c r="K56" s="48">
        <f t="shared" si="5"/>
        <v>1615491.6159999999</v>
      </c>
      <c r="L56" s="48"/>
      <c r="M56" s="48">
        <f t="shared" si="2"/>
        <v>15653019.392000001</v>
      </c>
    </row>
    <row r="57" spans="1:13" x14ac:dyDescent="0.25">
      <c r="A57" s="79">
        <f>5*1.16%</f>
        <v>5.7999999999999996E-2</v>
      </c>
      <c r="B57" s="41" t="s">
        <v>77</v>
      </c>
      <c r="D57" s="48">
        <f>+D49*$A$57</f>
        <v>7825001.6074759141</v>
      </c>
      <c r="E57" s="48">
        <f t="shared" ref="E57:L57" si="6">+E49*$A$57</f>
        <v>10435001.607475914</v>
      </c>
      <c r="F57" s="48">
        <f t="shared" si="6"/>
        <v>14542579.021238979</v>
      </c>
      <c r="G57" s="48">
        <f t="shared" si="6"/>
        <v>10435001.607475914</v>
      </c>
      <c r="H57" s="48">
        <f t="shared" si="6"/>
        <v>14542579.021238979</v>
      </c>
      <c r="I57" s="48">
        <f t="shared" si="6"/>
        <v>10435001.607475914</v>
      </c>
      <c r="J57" s="48">
        <f t="shared" si="6"/>
        <v>14542579.021238979</v>
      </c>
      <c r="K57" s="48">
        <f t="shared" si="6"/>
        <v>10435001.607475914</v>
      </c>
      <c r="L57" s="48">
        <f t="shared" si="6"/>
        <v>6717577.413763064</v>
      </c>
      <c r="M57" s="48">
        <f t="shared" si="2"/>
        <v>99910322.514859572</v>
      </c>
    </row>
    <row r="58" spans="1:13" x14ac:dyDescent="0.25">
      <c r="A58" s="79">
        <v>5.8000000000000003E-2</v>
      </c>
      <c r="B58" s="41" t="s">
        <v>78</v>
      </c>
      <c r="D58" s="48">
        <f>D52*$A$58</f>
        <v>4684925.6864</v>
      </c>
      <c r="E58" s="48">
        <f t="shared" ref="E58:L58" si="7">E52*$A$58</f>
        <v>4684925.6864</v>
      </c>
      <c r="F58" s="48">
        <f t="shared" si="7"/>
        <v>7323042.6016000006</v>
      </c>
      <c r="G58" s="48">
        <f t="shared" si="7"/>
        <v>4684925.6864</v>
      </c>
      <c r="H58" s="48">
        <f t="shared" si="7"/>
        <v>7323042.6016000006</v>
      </c>
      <c r="I58" s="48">
        <f t="shared" si="7"/>
        <v>4684925.6864</v>
      </c>
      <c r="J58" s="48">
        <f t="shared" si="7"/>
        <v>7323042.6016000006</v>
      </c>
      <c r="K58" s="48">
        <f t="shared" si="7"/>
        <v>4684925.6864</v>
      </c>
      <c r="L58" s="48">
        <f t="shared" si="7"/>
        <v>2638116.9152000006</v>
      </c>
      <c r="M58" s="48">
        <f t="shared" si="2"/>
        <v>48031873.152000003</v>
      </c>
    </row>
    <row r="59" spans="1:13" x14ac:dyDescent="0.25">
      <c r="A59" s="79">
        <v>0.20300000000000001</v>
      </c>
      <c r="B59" s="41" t="s">
        <v>79</v>
      </c>
      <c r="D59" s="48">
        <f>D52*$A$59</f>
        <v>16397239.9024</v>
      </c>
      <c r="E59" s="48">
        <f t="shared" ref="E59:L59" si="8">E52*$A$59</f>
        <v>16397239.9024</v>
      </c>
      <c r="F59" s="48">
        <f t="shared" si="8"/>
        <v>25630649.105600003</v>
      </c>
      <c r="G59" s="48">
        <f t="shared" si="8"/>
        <v>16397239.9024</v>
      </c>
      <c r="H59" s="48">
        <f t="shared" si="8"/>
        <v>25630649.105600003</v>
      </c>
      <c r="I59" s="48">
        <f t="shared" si="8"/>
        <v>16397239.9024</v>
      </c>
      <c r="J59" s="48">
        <f t="shared" si="8"/>
        <v>25630649.105600003</v>
      </c>
      <c r="K59" s="48">
        <f t="shared" si="8"/>
        <v>16397239.9024</v>
      </c>
      <c r="L59" s="48">
        <f t="shared" si="8"/>
        <v>9233409.2032000013</v>
      </c>
      <c r="M59" s="48">
        <f t="shared" si="2"/>
        <v>168111556.03200001</v>
      </c>
    </row>
    <row r="60" spans="1:13" x14ac:dyDescent="0.25">
      <c r="A60" s="79">
        <f>0.035*1.16</f>
        <v>4.0600000000000004E-2</v>
      </c>
      <c r="B60" s="41" t="s">
        <v>80</v>
      </c>
      <c r="D60" s="48">
        <f>+D49*$A$60</f>
        <v>5477501.1252331408</v>
      </c>
      <c r="E60" s="48">
        <f t="shared" ref="E60:L60" si="9">+E49*$A$60</f>
        <v>7304501.1252331417</v>
      </c>
      <c r="F60" s="48">
        <f t="shared" si="9"/>
        <v>10179805.314867288</v>
      </c>
      <c r="G60" s="48">
        <f t="shared" si="9"/>
        <v>7304501.1252331417</v>
      </c>
      <c r="H60" s="48">
        <f t="shared" si="9"/>
        <v>10179805.314867288</v>
      </c>
      <c r="I60" s="48">
        <f t="shared" si="9"/>
        <v>7304501.1252331417</v>
      </c>
      <c r="J60" s="48">
        <f t="shared" si="9"/>
        <v>10179805.314867288</v>
      </c>
      <c r="K60" s="48">
        <f t="shared" si="9"/>
        <v>7304501.1252331417</v>
      </c>
      <c r="L60" s="48">
        <f t="shared" si="9"/>
        <v>4702304.1896341452</v>
      </c>
      <c r="M60" s="48">
        <f t="shared" si="2"/>
        <v>69937225.760401726</v>
      </c>
    </row>
    <row r="61" spans="1:13" x14ac:dyDescent="0.25">
      <c r="A61" s="80"/>
      <c r="B61" s="42" t="s">
        <v>103</v>
      </c>
      <c r="C61" s="49"/>
      <c r="D61" s="49">
        <f>+D49-D52-SUM(D56:D60)</f>
        <v>18139080.081041202</v>
      </c>
      <c r="E61" s="49">
        <f t="shared" ref="E61:L61" si="10">+E49-E52-SUM(E56:E60)</f>
        <v>58702080.081041202</v>
      </c>
      <c r="F61" s="49">
        <f t="shared" si="10"/>
        <v>64273502.708538219</v>
      </c>
      <c r="G61" s="49">
        <f t="shared" si="10"/>
        <v>58702080.081041202</v>
      </c>
      <c r="H61" s="49">
        <f t="shared" si="10"/>
        <v>64273502.708538219</v>
      </c>
      <c r="I61" s="49">
        <f t="shared" si="10"/>
        <v>58702080.081041202</v>
      </c>
      <c r="J61" s="49">
        <f t="shared" si="10"/>
        <v>64273502.708538219</v>
      </c>
      <c r="K61" s="49">
        <f t="shared" si="10"/>
        <v>58702080.081041202</v>
      </c>
      <c r="L61" s="49">
        <f t="shared" si="10"/>
        <v>47044118.115496993</v>
      </c>
      <c r="M61" s="49">
        <f>+SUM(D61:L61)</f>
        <v>492812026.64631772</v>
      </c>
    </row>
    <row r="62" spans="1:13" x14ac:dyDescent="0.25">
      <c r="A62" s="80"/>
      <c r="B62" s="41" t="s">
        <v>55</v>
      </c>
    </row>
    <row r="63" spans="1:13" x14ac:dyDescent="0.25">
      <c r="B63" s="41" t="s">
        <v>56</v>
      </c>
    </row>
    <row r="64" spans="1:13" x14ac:dyDescent="0.25">
      <c r="B64" s="42" t="s">
        <v>57</v>
      </c>
      <c r="C64" s="49"/>
      <c r="D64" s="49">
        <f t="shared" ref="D64:M64" si="11">D61-D62-D63</f>
        <v>18139080.081041202</v>
      </c>
      <c r="E64" s="49">
        <f t="shared" si="11"/>
        <v>58702080.081041202</v>
      </c>
      <c r="F64" s="49">
        <f t="shared" si="11"/>
        <v>64273502.708538219</v>
      </c>
      <c r="G64" s="49">
        <f t="shared" si="11"/>
        <v>58702080.081041202</v>
      </c>
      <c r="H64" s="49">
        <f t="shared" si="11"/>
        <v>64273502.708538219</v>
      </c>
      <c r="I64" s="49">
        <f t="shared" si="11"/>
        <v>58702080.081041202</v>
      </c>
      <c r="J64" s="49">
        <f t="shared" si="11"/>
        <v>64273502.708538219</v>
      </c>
      <c r="K64" s="49">
        <f t="shared" si="11"/>
        <v>58702080.081041202</v>
      </c>
      <c r="L64" s="49">
        <f t="shared" si="11"/>
        <v>47044118.115496993</v>
      </c>
      <c r="M64" s="49">
        <f t="shared" si="11"/>
        <v>492812026.64631772</v>
      </c>
    </row>
    <row r="65" spans="2:13" x14ac:dyDescent="0.25">
      <c r="B65" s="41" t="s">
        <v>58</v>
      </c>
    </row>
    <row r="66" spans="2:13" ht="12" customHeight="1" x14ac:dyDescent="0.25">
      <c r="B66" s="42" t="s">
        <v>59</v>
      </c>
      <c r="C66" s="49"/>
      <c r="D66" s="49">
        <f t="shared" ref="D66:L66" si="12">+D64-D65</f>
        <v>18139080.081041202</v>
      </c>
      <c r="E66" s="49">
        <f t="shared" si="12"/>
        <v>58702080.081041202</v>
      </c>
      <c r="F66" s="49">
        <f t="shared" si="12"/>
        <v>64273502.708538219</v>
      </c>
      <c r="G66" s="49">
        <f t="shared" si="12"/>
        <v>58702080.081041202</v>
      </c>
      <c r="H66" s="49">
        <f t="shared" si="12"/>
        <v>64273502.708538219</v>
      </c>
      <c r="I66" s="49">
        <f t="shared" si="12"/>
        <v>58702080.081041202</v>
      </c>
      <c r="J66" s="49">
        <f t="shared" si="12"/>
        <v>64273502.708538219</v>
      </c>
      <c r="K66" s="49">
        <f t="shared" si="12"/>
        <v>58702080.081041202</v>
      </c>
      <c r="L66" s="49">
        <f t="shared" si="12"/>
        <v>47044118.115496993</v>
      </c>
      <c r="M66" s="49">
        <f>+SUM(D66:L66)</f>
        <v>492812026.64631772</v>
      </c>
    </row>
    <row r="67" spans="2:13" x14ac:dyDescent="0.25">
      <c r="B67" s="43" t="s">
        <v>60</v>
      </c>
    </row>
    <row r="68" spans="2:13" x14ac:dyDescent="0.25">
      <c r="B68" s="43" t="s">
        <v>97</v>
      </c>
      <c r="C68" s="91">
        <v>-1500000</v>
      </c>
    </row>
    <row r="69" spans="2:13" x14ac:dyDescent="0.25">
      <c r="B69" s="43" t="s">
        <v>56</v>
      </c>
      <c r="D69" s="20">
        <f t="shared" ref="D69:I69" si="13">-D63</f>
        <v>0</v>
      </c>
      <c r="E69" s="20">
        <f t="shared" si="13"/>
        <v>0</v>
      </c>
      <c r="F69" s="20">
        <f t="shared" si="13"/>
        <v>0</v>
      </c>
      <c r="G69" s="20">
        <f t="shared" si="13"/>
        <v>0</v>
      </c>
      <c r="H69" s="20">
        <f t="shared" si="13"/>
        <v>0</v>
      </c>
      <c r="I69" s="20">
        <f t="shared" si="13"/>
        <v>0</v>
      </c>
      <c r="J69" s="20"/>
      <c r="K69" s="20"/>
      <c r="L69" s="20"/>
      <c r="M69" s="20"/>
    </row>
    <row r="70" spans="2:13" x14ac:dyDescent="0.25">
      <c r="B70" s="100" t="s">
        <v>111</v>
      </c>
      <c r="C70" s="47">
        <f>+C45</f>
        <v>-50034375</v>
      </c>
      <c r="D70" s="47">
        <f>+D45</f>
        <v>0</v>
      </c>
      <c r="E70" s="47">
        <f>+C70*1.1</f>
        <v>-55037812.500000007</v>
      </c>
      <c r="F70" s="47">
        <f>+F45</f>
        <v>0</v>
      </c>
      <c r="G70" s="47">
        <f>+E70*1.1</f>
        <v>-60541593.750000015</v>
      </c>
      <c r="H70" s="47">
        <f>+H45</f>
        <v>0</v>
      </c>
      <c r="I70" s="47">
        <f>+G70*1.1</f>
        <v>-66595753.125000022</v>
      </c>
      <c r="J70" s="47">
        <f>+J45</f>
        <v>0</v>
      </c>
      <c r="K70" s="47">
        <f>+K45</f>
        <v>0</v>
      </c>
      <c r="L70" s="47"/>
    </row>
    <row r="71" spans="2:13" x14ac:dyDescent="0.25">
      <c r="B71" s="44" t="s">
        <v>61</v>
      </c>
      <c r="C71" s="44"/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82"/>
    </row>
    <row r="72" spans="2:13" x14ac:dyDescent="0.25">
      <c r="B72" s="44"/>
    </row>
    <row r="73" spans="2:13" x14ac:dyDescent="0.25">
      <c r="B73" s="45" t="s">
        <v>62</v>
      </c>
      <c r="C73" s="50">
        <f t="shared" ref="C73:L73" si="14">SUM(C66:C71)</f>
        <v>-51534375</v>
      </c>
      <c r="D73" s="50">
        <f>SUM(D66:D71)</f>
        <v>18139080.081041202</v>
      </c>
      <c r="E73" s="50">
        <f t="shared" si="14"/>
        <v>3664267.5810411945</v>
      </c>
      <c r="F73" s="50">
        <f t="shared" si="14"/>
        <v>64273502.708538219</v>
      </c>
      <c r="G73" s="50">
        <f t="shared" si="14"/>
        <v>-1839513.668958813</v>
      </c>
      <c r="H73" s="50">
        <f t="shared" si="14"/>
        <v>64273502.708538219</v>
      </c>
      <c r="I73" s="50">
        <f t="shared" si="14"/>
        <v>-7893673.0439588204</v>
      </c>
      <c r="J73" s="50">
        <f t="shared" si="14"/>
        <v>64273502.708538219</v>
      </c>
      <c r="K73" s="50">
        <f t="shared" si="14"/>
        <v>58702080.081041202</v>
      </c>
      <c r="L73" s="50">
        <f t="shared" si="14"/>
        <v>47044118.115496993</v>
      </c>
      <c r="M73" s="83"/>
    </row>
    <row r="75" spans="2:13" x14ac:dyDescent="0.25">
      <c r="B75" s="101" t="s">
        <v>99</v>
      </c>
      <c r="C75" s="102">
        <f>+C73</f>
        <v>-51534375</v>
      </c>
      <c r="D75" s="102">
        <f>+C75+D73</f>
        <v>-33395294.918958798</v>
      </c>
      <c r="E75" s="102">
        <f t="shared" ref="E75:L75" si="15">+D75+E73</f>
        <v>-29731027.337917604</v>
      </c>
      <c r="F75" s="102">
        <f t="shared" si="15"/>
        <v>34542475.370620616</v>
      </c>
      <c r="G75" s="102">
        <f t="shared" si="15"/>
        <v>32702961.701661803</v>
      </c>
      <c r="H75" s="102">
        <f t="shared" si="15"/>
        <v>96976464.41020003</v>
      </c>
      <c r="I75" s="102">
        <f t="shared" si="15"/>
        <v>89082791.366241217</v>
      </c>
      <c r="J75" s="102">
        <f t="shared" si="15"/>
        <v>153356294.07477945</v>
      </c>
      <c r="K75" s="102">
        <f t="shared" si="15"/>
        <v>212058374.15582067</v>
      </c>
      <c r="L75" s="102">
        <f t="shared" si="15"/>
        <v>259102492.27131766</v>
      </c>
      <c r="M75" s="101"/>
    </row>
    <row r="76" spans="2:13" hidden="1" x14ac:dyDescent="0.25">
      <c r="B76" s="103" t="s">
        <v>113</v>
      </c>
      <c r="C76" s="104">
        <f>+MIN(C75:L75)</f>
        <v>-51534375</v>
      </c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3" hidden="1" x14ac:dyDescent="0.25">
      <c r="B77" s="103" t="s">
        <v>114</v>
      </c>
    </row>
    <row r="78" spans="2:13" x14ac:dyDescent="0.25">
      <c r="B78" s="103" t="s">
        <v>115</v>
      </c>
      <c r="C78" s="104">
        <f>+SUM(C73:L73)</f>
        <v>259102492.27131766</v>
      </c>
    </row>
    <row r="79" spans="2:13" x14ac:dyDescent="0.25">
      <c r="B79" s="103"/>
      <c r="C79" s="104"/>
    </row>
    <row r="80" spans="2:13" x14ac:dyDescent="0.25">
      <c r="B80" s="52" t="s">
        <v>65</v>
      </c>
      <c r="C80" s="51">
        <f t="shared" ref="C80:L80" si="16">C73/((1+$C$83)^C48)</f>
        <v>-51534375</v>
      </c>
      <c r="D80" s="51">
        <f t="shared" si="16"/>
        <v>15773113.113948872</v>
      </c>
      <c r="E80" s="51">
        <f t="shared" si="16"/>
        <v>2770712.7266852139</v>
      </c>
      <c r="F80" s="51">
        <f t="shared" si="16"/>
        <v>42260871.346125253</v>
      </c>
      <c r="G80" s="51">
        <f t="shared" si="16"/>
        <v>-1051747.91053995</v>
      </c>
      <c r="H80" s="51">
        <f t="shared" si="16"/>
        <v>31955290.242816824</v>
      </c>
      <c r="I80" s="51">
        <f t="shared" si="16"/>
        <v>-3412652.6900065746</v>
      </c>
      <c r="J80" s="51">
        <f t="shared" si="16"/>
        <v>24162790.353736736</v>
      </c>
      <c r="K80" s="51">
        <f t="shared" si="16"/>
        <v>19189814.106952149</v>
      </c>
      <c r="L80" s="51">
        <f t="shared" si="16"/>
        <v>13372874.48781269</v>
      </c>
      <c r="M80" s="51"/>
    </row>
    <row r="81" spans="2:3" ht="15.75" thickBot="1" x14ac:dyDescent="0.3"/>
    <row r="82" spans="2:3" x14ac:dyDescent="0.25">
      <c r="B82" s="227" t="s">
        <v>67</v>
      </c>
      <c r="C82" s="228"/>
    </row>
    <row r="83" spans="2:3" x14ac:dyDescent="0.25">
      <c r="B83" s="53" t="s">
        <v>73</v>
      </c>
      <c r="C83" s="57">
        <v>0.15</v>
      </c>
    </row>
    <row r="84" spans="2:3" x14ac:dyDescent="0.25">
      <c r="B84" s="53" t="s">
        <v>63</v>
      </c>
      <c r="C84" s="73">
        <f>SUM(C80:L80)</f>
        <v>93486690.777531207</v>
      </c>
    </row>
    <row r="85" spans="2:3" x14ac:dyDescent="0.25">
      <c r="B85" s="53" t="s">
        <v>64</v>
      </c>
      <c r="C85" s="74">
        <f>IRR(C73:L73)</f>
        <v>0.46532439459026653</v>
      </c>
    </row>
    <row r="86" spans="2:3" x14ac:dyDescent="0.25">
      <c r="B86" s="53" t="s">
        <v>72</v>
      </c>
      <c r="C86" s="54">
        <f>(SUM(D80:L80))/-C80</f>
        <v>2.8140647049184397</v>
      </c>
    </row>
    <row r="87" spans="2:3" ht="15.75" thickBot="1" x14ac:dyDescent="0.3">
      <c r="B87" s="55" t="s">
        <v>66</v>
      </c>
      <c r="C87" s="56">
        <f>SUM(C73:M73)/SUM(C50:M50)</f>
        <v>9.5077079743099965E-2</v>
      </c>
    </row>
  </sheetData>
  <mergeCells count="5">
    <mergeCell ref="B82:C82"/>
    <mergeCell ref="D25:E25"/>
    <mergeCell ref="F25:G25"/>
    <mergeCell ref="H25:I25"/>
    <mergeCell ref="J25:K25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workbookViewId="0">
      <pane xSplit="2" ySplit="4" topLeftCell="Z5" activePane="bottomRight" state="frozen"/>
      <selection pane="topRight" activeCell="C1" sqref="C1"/>
      <selection pane="bottomLeft" activeCell="A5" sqref="A5"/>
      <selection pane="bottomRight" activeCell="D15" sqref="D15:AJ15"/>
    </sheetView>
  </sheetViews>
  <sheetFormatPr baseColWidth="10" defaultRowHeight="15" x14ac:dyDescent="0.25"/>
  <cols>
    <col min="1" max="1" width="6.28515625" bestFit="1" customWidth="1"/>
    <col min="2" max="2" width="32.28515625" bestFit="1" customWidth="1"/>
    <col min="3" max="3" width="13.5703125" bestFit="1" customWidth="1"/>
    <col min="4" max="4" width="15.140625" bestFit="1" customWidth="1"/>
    <col min="10" max="10" width="12.5703125" bestFit="1" customWidth="1"/>
    <col min="12" max="12" width="12.5703125" bestFit="1" customWidth="1"/>
    <col min="20" max="20" width="12.5703125" bestFit="1" customWidth="1"/>
    <col min="28" max="28" width="12.5703125" bestFit="1" customWidth="1"/>
    <col min="31" max="31" width="16.140625" bestFit="1" customWidth="1"/>
  </cols>
  <sheetData>
    <row r="1" spans="1:40" ht="15.75" thickBot="1" x14ac:dyDescent="0.3"/>
    <row r="2" spans="1:40" x14ac:dyDescent="0.25">
      <c r="D2" s="236" t="s">
        <v>50</v>
      </c>
      <c r="E2" s="237"/>
      <c r="F2" s="237"/>
      <c r="G2" s="237"/>
      <c r="H2" s="237"/>
      <c r="I2" s="237"/>
      <c r="J2" s="237"/>
      <c r="K2" s="238"/>
      <c r="L2" s="236" t="s">
        <v>52</v>
      </c>
      <c r="M2" s="237"/>
      <c r="N2" s="237"/>
      <c r="O2" s="237"/>
      <c r="P2" s="237"/>
      <c r="Q2" s="237"/>
      <c r="R2" s="237"/>
      <c r="S2" s="238"/>
      <c r="T2" s="236" t="s">
        <v>53</v>
      </c>
      <c r="U2" s="237"/>
      <c r="V2" s="237"/>
      <c r="W2" s="237"/>
      <c r="X2" s="237"/>
      <c r="Y2" s="237"/>
      <c r="Z2" s="237"/>
      <c r="AA2" s="238"/>
      <c r="AB2" s="236" t="s">
        <v>101</v>
      </c>
      <c r="AC2" s="237"/>
      <c r="AD2" s="237"/>
      <c r="AE2" s="237"/>
      <c r="AF2" s="237"/>
      <c r="AG2" s="237"/>
      <c r="AH2" s="237"/>
      <c r="AI2" s="238"/>
      <c r="AJ2" s="164" t="s">
        <v>130</v>
      </c>
    </row>
    <row r="3" spans="1:40" x14ac:dyDescent="0.25">
      <c r="D3" s="231" t="s">
        <v>41</v>
      </c>
      <c r="E3" s="232"/>
      <c r="F3" s="232"/>
      <c r="G3" s="233"/>
      <c r="H3" s="234" t="s">
        <v>42</v>
      </c>
      <c r="I3" s="232"/>
      <c r="J3" s="232"/>
      <c r="K3" s="235"/>
      <c r="L3" s="231" t="s">
        <v>43</v>
      </c>
      <c r="M3" s="232"/>
      <c r="N3" s="232"/>
      <c r="O3" s="233"/>
      <c r="P3" s="234" t="s">
        <v>44</v>
      </c>
      <c r="Q3" s="232"/>
      <c r="R3" s="232"/>
      <c r="S3" s="235"/>
      <c r="T3" s="231" t="s">
        <v>45</v>
      </c>
      <c r="U3" s="232"/>
      <c r="V3" s="232"/>
      <c r="W3" s="233"/>
      <c r="X3" s="234" t="s">
        <v>47</v>
      </c>
      <c r="Y3" s="232"/>
      <c r="Z3" s="232"/>
      <c r="AA3" s="235"/>
      <c r="AB3" s="231" t="s">
        <v>107</v>
      </c>
      <c r="AC3" s="232"/>
      <c r="AD3" s="232"/>
      <c r="AE3" s="233"/>
      <c r="AF3" s="234" t="s">
        <v>108</v>
      </c>
      <c r="AG3" s="232"/>
      <c r="AH3" s="232"/>
      <c r="AI3" s="235"/>
      <c r="AJ3" s="165" t="s">
        <v>110</v>
      </c>
      <c r="AK3" s="121"/>
      <c r="AL3" s="121"/>
      <c r="AM3" s="121"/>
    </row>
    <row r="4" spans="1:40" x14ac:dyDescent="0.25">
      <c r="C4">
        <v>0</v>
      </c>
      <c r="D4" s="159">
        <v>1</v>
      </c>
      <c r="E4" s="160">
        <v>2</v>
      </c>
      <c r="F4" s="160">
        <v>3</v>
      </c>
      <c r="G4" s="161">
        <v>4</v>
      </c>
      <c r="H4" s="162">
        <v>5</v>
      </c>
      <c r="I4" s="160">
        <v>6</v>
      </c>
      <c r="J4" s="160">
        <v>7</v>
      </c>
      <c r="K4" s="163">
        <v>8</v>
      </c>
      <c r="L4" s="159">
        <v>9</v>
      </c>
      <c r="M4" s="160">
        <v>10</v>
      </c>
      <c r="N4" s="160">
        <v>11</v>
      </c>
      <c r="O4" s="161">
        <v>12</v>
      </c>
      <c r="P4" s="162">
        <v>13</v>
      </c>
      <c r="Q4" s="160">
        <v>14</v>
      </c>
      <c r="R4" s="160">
        <v>15</v>
      </c>
      <c r="S4" s="163">
        <v>16</v>
      </c>
      <c r="T4" s="159">
        <v>17</v>
      </c>
      <c r="U4" s="160">
        <v>18</v>
      </c>
      <c r="V4" s="160">
        <v>19</v>
      </c>
      <c r="W4" s="161">
        <v>20</v>
      </c>
      <c r="X4" s="162">
        <v>21</v>
      </c>
      <c r="Y4" s="160">
        <v>22</v>
      </c>
      <c r="Z4" s="160">
        <v>23</v>
      </c>
      <c r="AA4" s="163">
        <v>24</v>
      </c>
      <c r="AB4" s="159">
        <v>25</v>
      </c>
      <c r="AC4" s="160">
        <v>26</v>
      </c>
      <c r="AD4" s="160">
        <v>27</v>
      </c>
      <c r="AE4" s="161">
        <v>28</v>
      </c>
      <c r="AF4" s="162">
        <v>29</v>
      </c>
      <c r="AG4" s="160">
        <v>30</v>
      </c>
      <c r="AH4" s="160">
        <v>31</v>
      </c>
      <c r="AI4" s="163">
        <v>32</v>
      </c>
      <c r="AJ4" s="166">
        <v>33</v>
      </c>
      <c r="AK4" s="46" t="s">
        <v>32</v>
      </c>
    </row>
    <row r="5" spans="1:40" x14ac:dyDescent="0.25">
      <c r="B5" s="40" t="s">
        <v>102</v>
      </c>
      <c r="D5" s="28"/>
      <c r="E5" s="35"/>
      <c r="F5" s="35"/>
      <c r="G5" s="95"/>
      <c r="H5" s="64"/>
      <c r="I5" s="35"/>
      <c r="J5" s="35"/>
      <c r="K5" s="140"/>
      <c r="L5" s="28"/>
      <c r="M5" s="35"/>
      <c r="N5" s="35"/>
      <c r="O5" s="95"/>
      <c r="P5" s="64"/>
      <c r="Q5" s="35"/>
      <c r="R5" s="35"/>
      <c r="S5" s="140"/>
      <c r="T5" s="28"/>
      <c r="U5" s="35"/>
      <c r="V5" s="35"/>
      <c r="W5" s="95"/>
      <c r="X5" s="64"/>
      <c r="Y5" s="35"/>
      <c r="Z5" s="35"/>
      <c r="AA5" s="140"/>
      <c r="AB5" s="28"/>
      <c r="AC5" s="35"/>
      <c r="AD5" s="35"/>
      <c r="AE5" s="95"/>
      <c r="AF5" s="64"/>
      <c r="AG5" s="35"/>
      <c r="AH5" s="35"/>
      <c r="AI5" s="140"/>
      <c r="AJ5" s="167"/>
      <c r="AK5" s="81">
        <f t="shared" ref="AK5:AK11" si="0">+SUM(D5:AJ5)</f>
        <v>0</v>
      </c>
    </row>
    <row r="6" spans="1:40" x14ac:dyDescent="0.25">
      <c r="B6" s="89" t="s">
        <v>95</v>
      </c>
      <c r="D6" s="141">
        <f t="shared" ref="D6:AI6" si="1">+SUM(D7:D11)</f>
        <v>48721273.606183417</v>
      </c>
      <c r="E6" s="125">
        <f t="shared" si="1"/>
        <v>48721273.606183417</v>
      </c>
      <c r="F6" s="125">
        <f t="shared" si="1"/>
        <v>48721273.606183417</v>
      </c>
      <c r="G6" s="126">
        <f t="shared" si="1"/>
        <v>11250000</v>
      </c>
      <c r="H6" s="124">
        <f t="shared" si="1"/>
        <v>11250000</v>
      </c>
      <c r="I6" s="125">
        <f t="shared" si="1"/>
        <v>11250000</v>
      </c>
      <c r="J6" s="125">
        <f t="shared" si="1"/>
        <v>87328040.351948157</v>
      </c>
      <c r="K6" s="86">
        <f t="shared" si="1"/>
        <v>87328040.351948157</v>
      </c>
      <c r="L6" s="141">
        <f t="shared" si="1"/>
        <v>124799313.95813158</v>
      </c>
      <c r="M6" s="125">
        <f t="shared" si="1"/>
        <v>48721273.606183417</v>
      </c>
      <c r="N6" s="125">
        <f t="shared" si="1"/>
        <v>48721273.606183417</v>
      </c>
      <c r="O6" s="126">
        <f t="shared" si="1"/>
        <v>11250000</v>
      </c>
      <c r="P6" s="124">
        <f t="shared" si="1"/>
        <v>11250000</v>
      </c>
      <c r="Q6" s="125">
        <f t="shared" si="1"/>
        <v>11250000</v>
      </c>
      <c r="R6" s="125">
        <f t="shared" si="1"/>
        <v>87328040.351948157</v>
      </c>
      <c r="S6" s="86">
        <f t="shared" si="1"/>
        <v>87328040.351948157</v>
      </c>
      <c r="T6" s="141">
        <f t="shared" si="1"/>
        <v>124799313.95813158</v>
      </c>
      <c r="U6" s="125">
        <f t="shared" si="1"/>
        <v>48721273.606183417</v>
      </c>
      <c r="V6" s="125">
        <f t="shared" si="1"/>
        <v>48721273.606183417</v>
      </c>
      <c r="W6" s="126">
        <f t="shared" si="1"/>
        <v>11250000</v>
      </c>
      <c r="X6" s="124">
        <f t="shared" si="1"/>
        <v>11250000</v>
      </c>
      <c r="Y6" s="125">
        <f t="shared" si="1"/>
        <v>11250000</v>
      </c>
      <c r="Z6" s="125">
        <f t="shared" si="1"/>
        <v>87328040.351948157</v>
      </c>
      <c r="AA6" s="86">
        <f t="shared" si="1"/>
        <v>87328040.351948157</v>
      </c>
      <c r="AB6" s="141">
        <f t="shared" si="1"/>
        <v>124799313.95813158</v>
      </c>
      <c r="AC6" s="125">
        <f t="shared" si="1"/>
        <v>48721273.606183417</v>
      </c>
      <c r="AD6" s="125">
        <f t="shared" si="1"/>
        <v>48721273.606183417</v>
      </c>
      <c r="AE6" s="126">
        <f t="shared" si="1"/>
        <v>11250000</v>
      </c>
      <c r="AF6" s="124">
        <f t="shared" si="1"/>
        <v>11250000</v>
      </c>
      <c r="AG6" s="125">
        <f t="shared" si="1"/>
        <v>11250000</v>
      </c>
      <c r="AH6" s="125">
        <f t="shared" si="1"/>
        <v>87328040.351948157</v>
      </c>
      <c r="AI6" s="86">
        <f t="shared" si="1"/>
        <v>87328040.351948157</v>
      </c>
      <c r="AJ6" s="168">
        <f>+SUM(AJ7:AJ11)</f>
        <v>76078040.351948157</v>
      </c>
      <c r="AK6" s="81">
        <f t="shared" si="0"/>
        <v>1722591767.4975796</v>
      </c>
      <c r="AL6" s="21"/>
      <c r="AM6" s="21"/>
      <c r="AN6" s="21"/>
    </row>
    <row r="7" spans="1:40" x14ac:dyDescent="0.25">
      <c r="B7" s="120" t="s">
        <v>126</v>
      </c>
      <c r="D7" s="142">
        <f>(('2) Parámetros y áreas'!$D$24*0.33)/3)</f>
        <v>37471273.606183417</v>
      </c>
      <c r="E7" s="119">
        <f>(('2) Parámetros y áreas'!$D$24*0.33)/3)</f>
        <v>37471273.606183417</v>
      </c>
      <c r="F7" s="119">
        <f>(('2) Parámetros y áreas'!$D$24*0.33)/3)</f>
        <v>37471273.606183417</v>
      </c>
      <c r="G7" s="128"/>
      <c r="H7" s="127"/>
      <c r="I7" s="119"/>
      <c r="J7" s="119">
        <f>('2) Parámetros y áreas'!$D$24*0.67)/3</f>
        <v>76078040.351948157</v>
      </c>
      <c r="K7" s="143">
        <f>('2) Parámetros y áreas'!$D$24*0.67)/3</f>
        <v>76078040.351948157</v>
      </c>
      <c r="L7" s="142">
        <f>('2) Parámetros y áreas'!$D$24*0.67)/3</f>
        <v>76078040.351948157</v>
      </c>
      <c r="M7" s="119"/>
      <c r="N7" s="119"/>
      <c r="O7" s="128"/>
      <c r="P7" s="127"/>
      <c r="Q7" s="119"/>
      <c r="R7" s="119"/>
      <c r="S7" s="143"/>
      <c r="T7" s="142"/>
      <c r="U7" s="119"/>
      <c r="V7" s="119"/>
      <c r="W7" s="128"/>
      <c r="X7" s="127"/>
      <c r="Y7" s="119"/>
      <c r="Z7" s="119"/>
      <c r="AA7" s="143"/>
      <c r="AB7" s="142"/>
      <c r="AC7" s="119"/>
      <c r="AD7" s="119"/>
      <c r="AE7" s="128"/>
      <c r="AF7" s="127"/>
      <c r="AG7" s="119"/>
      <c r="AH7" s="119"/>
      <c r="AI7" s="143"/>
      <c r="AJ7" s="169"/>
      <c r="AK7" s="81">
        <f t="shared" si="0"/>
        <v>340647941.87439471</v>
      </c>
      <c r="AL7" s="21"/>
      <c r="AM7" s="21"/>
      <c r="AN7" s="21"/>
    </row>
    <row r="8" spans="1:40" x14ac:dyDescent="0.25">
      <c r="B8" s="120" t="s">
        <v>127</v>
      </c>
      <c r="D8" s="142"/>
      <c r="E8" s="119"/>
      <c r="F8" s="119"/>
      <c r="G8" s="128"/>
      <c r="H8" s="127"/>
      <c r="I8" s="119"/>
      <c r="J8" s="119"/>
      <c r="K8" s="143"/>
      <c r="L8" s="142">
        <f>(('2) Parámetros y áreas'!$D$24*0.33)/3)</f>
        <v>37471273.606183417</v>
      </c>
      <c r="M8" s="119">
        <f>(('2) Parámetros y áreas'!$D$24*0.33)/3)</f>
        <v>37471273.606183417</v>
      </c>
      <c r="N8" s="119">
        <f>(('2) Parámetros y áreas'!$D$24*0.33)/3)</f>
        <v>37471273.606183417</v>
      </c>
      <c r="O8" s="128"/>
      <c r="P8" s="127"/>
      <c r="Q8" s="119"/>
      <c r="R8" s="119">
        <f>('2) Parámetros y áreas'!$D$24*0.67)/3</f>
        <v>76078040.351948157</v>
      </c>
      <c r="S8" s="143">
        <f>('2) Parámetros y áreas'!$D$24*0.67)/3</f>
        <v>76078040.351948157</v>
      </c>
      <c r="T8" s="142">
        <f>('2) Parámetros y áreas'!$D$24*0.67)/3</f>
        <v>76078040.351948157</v>
      </c>
      <c r="U8" s="119"/>
      <c r="V8" s="119"/>
      <c r="W8" s="128"/>
      <c r="X8" s="127"/>
      <c r="Y8" s="119"/>
      <c r="Z8" s="119"/>
      <c r="AA8" s="143"/>
      <c r="AB8" s="142"/>
      <c r="AC8" s="119"/>
      <c r="AD8" s="119"/>
      <c r="AE8" s="128"/>
      <c r="AF8" s="127"/>
      <c r="AG8" s="119"/>
      <c r="AH8" s="119"/>
      <c r="AI8" s="143"/>
      <c r="AJ8" s="169"/>
      <c r="AK8" s="81">
        <f t="shared" si="0"/>
        <v>340647941.87439471</v>
      </c>
      <c r="AL8" s="21"/>
      <c r="AM8" s="21"/>
      <c r="AN8" s="21"/>
    </row>
    <row r="9" spans="1:40" x14ac:dyDescent="0.25">
      <c r="B9" s="120" t="s">
        <v>128</v>
      </c>
      <c r="D9" s="142"/>
      <c r="E9" s="119"/>
      <c r="F9" s="119"/>
      <c r="G9" s="128"/>
      <c r="H9" s="127"/>
      <c r="I9" s="119"/>
      <c r="J9" s="119"/>
      <c r="K9" s="143"/>
      <c r="L9" s="142"/>
      <c r="M9" s="119"/>
      <c r="N9" s="119"/>
      <c r="O9" s="128"/>
      <c r="P9" s="127"/>
      <c r="Q9" s="119"/>
      <c r="R9" s="119"/>
      <c r="S9" s="143"/>
      <c r="T9" s="142">
        <f>(('2) Parámetros y áreas'!$D$24*0.33)/3)</f>
        <v>37471273.606183417</v>
      </c>
      <c r="U9" s="119">
        <f>(('2) Parámetros y áreas'!$D$24*0.33)/3)</f>
        <v>37471273.606183417</v>
      </c>
      <c r="V9" s="119">
        <f>(('2) Parámetros y áreas'!$D$24*0.33)/3)</f>
        <v>37471273.606183417</v>
      </c>
      <c r="W9" s="128"/>
      <c r="X9" s="127"/>
      <c r="Y9" s="119"/>
      <c r="Z9" s="119">
        <f>('2) Parámetros y áreas'!$D$24*0.67)/3</f>
        <v>76078040.351948157</v>
      </c>
      <c r="AA9" s="143">
        <f>('2) Parámetros y áreas'!$D$24*0.67)/3</f>
        <v>76078040.351948157</v>
      </c>
      <c r="AB9" s="142">
        <f>('2) Parámetros y áreas'!$D$24*0.67)/3</f>
        <v>76078040.351948157</v>
      </c>
      <c r="AC9" s="119"/>
      <c r="AD9" s="119"/>
      <c r="AE9" s="128"/>
      <c r="AF9" s="127"/>
      <c r="AG9" s="119"/>
      <c r="AH9" s="119"/>
      <c r="AI9" s="143"/>
      <c r="AJ9" s="169"/>
      <c r="AK9" s="81">
        <f t="shared" si="0"/>
        <v>340647941.87439471</v>
      </c>
      <c r="AL9" s="21"/>
      <c r="AM9" s="21"/>
      <c r="AN9" s="21"/>
    </row>
    <row r="10" spans="1:40" x14ac:dyDescent="0.25">
      <c r="B10" s="120" t="s">
        <v>129</v>
      </c>
      <c r="D10" s="142"/>
      <c r="E10" s="119"/>
      <c r="F10" s="119"/>
      <c r="G10" s="128"/>
      <c r="H10" s="127"/>
      <c r="I10" s="119"/>
      <c r="J10" s="119"/>
      <c r="K10" s="143"/>
      <c r="L10" s="142"/>
      <c r="M10" s="119"/>
      <c r="N10" s="119"/>
      <c r="O10" s="128"/>
      <c r="P10" s="127"/>
      <c r="Q10" s="119"/>
      <c r="R10" s="119"/>
      <c r="S10" s="143"/>
      <c r="T10" s="142"/>
      <c r="U10" s="119"/>
      <c r="V10" s="119"/>
      <c r="W10" s="128"/>
      <c r="X10" s="127"/>
      <c r="Y10" s="119"/>
      <c r="Z10" s="119"/>
      <c r="AA10" s="143"/>
      <c r="AB10" s="142">
        <f>(('2) Parámetros y áreas'!$D$24*0.33)/3)</f>
        <v>37471273.606183417</v>
      </c>
      <c r="AC10" s="119">
        <f>(('2) Parámetros y áreas'!$D$24*0.33)/3)</f>
        <v>37471273.606183417</v>
      </c>
      <c r="AD10" s="119">
        <f>(('2) Parámetros y áreas'!$D$24*0.33)/3)</f>
        <v>37471273.606183417</v>
      </c>
      <c r="AE10" s="128"/>
      <c r="AF10" s="127"/>
      <c r="AG10" s="119"/>
      <c r="AH10" s="119">
        <f>('2) Parámetros y áreas'!$D$24*0.67)/3</f>
        <v>76078040.351948157</v>
      </c>
      <c r="AI10" s="143">
        <f>('2) Parámetros y áreas'!$D$24*0.67)/3</f>
        <v>76078040.351948157</v>
      </c>
      <c r="AJ10" s="170">
        <f>('2) Parámetros y áreas'!$D$24*0.67)/3</f>
        <v>76078040.351948157</v>
      </c>
      <c r="AK10" s="81">
        <f t="shared" si="0"/>
        <v>340647941.87439471</v>
      </c>
      <c r="AL10" s="21"/>
      <c r="AM10" s="21"/>
      <c r="AN10" s="21"/>
    </row>
    <row r="11" spans="1:40" x14ac:dyDescent="0.25">
      <c r="B11" s="120" t="s">
        <v>93</v>
      </c>
      <c r="D11" s="142">
        <f>+'2) Parámetros y áreas'!$K$18/2</f>
        <v>11250000</v>
      </c>
      <c r="E11" s="119">
        <f>+'2) Parámetros y áreas'!$K$18/2</f>
        <v>11250000</v>
      </c>
      <c r="F11" s="119">
        <f>+'2) Parámetros y áreas'!$K$18/2</f>
        <v>11250000</v>
      </c>
      <c r="G11" s="129">
        <f>+'2) Parámetros y áreas'!$K$18/2</f>
        <v>11250000</v>
      </c>
      <c r="H11" s="127">
        <f>+'2) Parámetros y áreas'!$K$18/2</f>
        <v>11250000</v>
      </c>
      <c r="I11" s="119">
        <f>+'2) Parámetros y áreas'!$K$18/2</f>
        <v>11250000</v>
      </c>
      <c r="J11" s="119">
        <f>+'2) Parámetros y áreas'!$K$18/2</f>
        <v>11250000</v>
      </c>
      <c r="K11" s="144">
        <f>+'2) Parámetros y áreas'!$K$18/2</f>
        <v>11250000</v>
      </c>
      <c r="L11" s="142">
        <f>+'2) Parámetros y áreas'!$K$18/2</f>
        <v>11250000</v>
      </c>
      <c r="M11" s="119">
        <f>+'2) Parámetros y áreas'!$K$18/2</f>
        <v>11250000</v>
      </c>
      <c r="N11" s="119">
        <f>+'2) Parámetros y áreas'!$K$18/2</f>
        <v>11250000</v>
      </c>
      <c r="O11" s="129">
        <f>+'2) Parámetros y áreas'!$K$18/2</f>
        <v>11250000</v>
      </c>
      <c r="P11" s="127">
        <f>+'2) Parámetros y áreas'!$K$18/2</f>
        <v>11250000</v>
      </c>
      <c r="Q11" s="119">
        <f>+'2) Parámetros y áreas'!$K$18/2</f>
        <v>11250000</v>
      </c>
      <c r="R11" s="119">
        <f>+'2) Parámetros y áreas'!$K$18/2</f>
        <v>11250000</v>
      </c>
      <c r="S11" s="144">
        <f>+'2) Parámetros y áreas'!$K$18/2</f>
        <v>11250000</v>
      </c>
      <c r="T11" s="142">
        <f>+'2) Parámetros y áreas'!$K$18/2</f>
        <v>11250000</v>
      </c>
      <c r="U11" s="119">
        <f>+'2) Parámetros y áreas'!$K$18/2</f>
        <v>11250000</v>
      </c>
      <c r="V11" s="119">
        <f>+'2) Parámetros y áreas'!$K$18/2</f>
        <v>11250000</v>
      </c>
      <c r="W11" s="129">
        <f>+'2) Parámetros y áreas'!$K$18/2</f>
        <v>11250000</v>
      </c>
      <c r="X11" s="127">
        <f>+'2) Parámetros y áreas'!$K$18/2</f>
        <v>11250000</v>
      </c>
      <c r="Y11" s="119">
        <f>+'2) Parámetros y áreas'!$K$18/2</f>
        <v>11250000</v>
      </c>
      <c r="Z11" s="119">
        <f>+'2) Parámetros y áreas'!$K$18/2</f>
        <v>11250000</v>
      </c>
      <c r="AA11" s="144">
        <f>+'2) Parámetros y áreas'!$K$18/2</f>
        <v>11250000</v>
      </c>
      <c r="AB11" s="142">
        <f>+'2) Parámetros y áreas'!$K$18/2</f>
        <v>11250000</v>
      </c>
      <c r="AC11" s="119">
        <f>+'2) Parámetros y áreas'!$K$18/2</f>
        <v>11250000</v>
      </c>
      <c r="AD11" s="119">
        <f>+'2) Parámetros y áreas'!$K$18/2</f>
        <v>11250000</v>
      </c>
      <c r="AE11" s="129">
        <f>+'2) Parámetros y áreas'!$K$18/2</f>
        <v>11250000</v>
      </c>
      <c r="AF11" s="127">
        <f>+'2) Parámetros y áreas'!$K$18/2</f>
        <v>11250000</v>
      </c>
      <c r="AG11" s="119">
        <f>+'2) Parámetros y áreas'!$K$18/2</f>
        <v>11250000</v>
      </c>
      <c r="AH11" s="119">
        <f>+'2) Parámetros y áreas'!$K$18/2</f>
        <v>11250000</v>
      </c>
      <c r="AI11" s="144">
        <f>+'2) Parámetros y áreas'!$K$18/2</f>
        <v>11250000</v>
      </c>
      <c r="AJ11" s="169"/>
      <c r="AK11" s="81">
        <f t="shared" si="0"/>
        <v>360000000</v>
      </c>
      <c r="AL11" s="21"/>
      <c r="AM11" s="21"/>
      <c r="AN11" s="21"/>
    </row>
    <row r="12" spans="1:40" x14ac:dyDescent="0.25">
      <c r="B12" s="89" t="s">
        <v>96</v>
      </c>
      <c r="D12" s="142">
        <f>+SUM(D13:D15)</f>
        <v>19657863.181297936</v>
      </c>
      <c r="E12" s="119">
        <f t="shared" ref="E12:AI12" si="2">+SUM(E13:E15)</f>
        <v>19657863.181297936</v>
      </c>
      <c r="F12" s="119">
        <f t="shared" si="2"/>
        <v>19657863.181297936</v>
      </c>
      <c r="G12" s="129">
        <f t="shared" si="2"/>
        <v>19657863.181297936</v>
      </c>
      <c r="H12" s="127">
        <f t="shared" si="2"/>
        <v>15450620.818702068</v>
      </c>
      <c r="I12" s="119">
        <f t="shared" si="2"/>
        <v>15450620.818702068</v>
      </c>
      <c r="J12" s="119">
        <f t="shared" si="2"/>
        <v>15450620.818702068</v>
      </c>
      <c r="K12" s="144">
        <f t="shared" si="2"/>
        <v>15450620.818702068</v>
      </c>
      <c r="L12" s="142">
        <f t="shared" si="2"/>
        <v>19657863.181297936</v>
      </c>
      <c r="M12" s="119">
        <f t="shared" si="2"/>
        <v>19657863.181297936</v>
      </c>
      <c r="N12" s="119">
        <f t="shared" si="2"/>
        <v>19657863.181297936</v>
      </c>
      <c r="O12" s="129">
        <f t="shared" si="2"/>
        <v>19657863.181297936</v>
      </c>
      <c r="P12" s="127">
        <f t="shared" si="2"/>
        <v>15450620.818702068</v>
      </c>
      <c r="Q12" s="119">
        <f t="shared" si="2"/>
        <v>15450620.818702068</v>
      </c>
      <c r="R12" s="119">
        <f t="shared" si="2"/>
        <v>15450620.818702068</v>
      </c>
      <c r="S12" s="144">
        <f t="shared" si="2"/>
        <v>15450620.818702068</v>
      </c>
      <c r="T12" s="142">
        <f t="shared" si="2"/>
        <v>19657863.181297936</v>
      </c>
      <c r="U12" s="119">
        <f t="shared" si="2"/>
        <v>19657863.181297936</v>
      </c>
      <c r="V12" s="119">
        <f t="shared" si="2"/>
        <v>19657863.181297936</v>
      </c>
      <c r="W12" s="129">
        <f t="shared" si="2"/>
        <v>19657863.181297936</v>
      </c>
      <c r="X12" s="127">
        <f t="shared" si="2"/>
        <v>15450620.818702068</v>
      </c>
      <c r="Y12" s="119">
        <f t="shared" si="2"/>
        <v>15450620.818702068</v>
      </c>
      <c r="Z12" s="119">
        <f t="shared" si="2"/>
        <v>15450620.818702068</v>
      </c>
      <c r="AA12" s="144">
        <f t="shared" si="2"/>
        <v>15450620.818702068</v>
      </c>
      <c r="AB12" s="142">
        <f t="shared" si="2"/>
        <v>19657863.181297936</v>
      </c>
      <c r="AC12" s="119">
        <f t="shared" si="2"/>
        <v>19657863.181297936</v>
      </c>
      <c r="AD12" s="119">
        <f t="shared" si="2"/>
        <v>19657863.181297936</v>
      </c>
      <c r="AE12" s="129">
        <f t="shared" si="2"/>
        <v>19657863.181297936</v>
      </c>
      <c r="AF12" s="127">
        <f t="shared" si="2"/>
        <v>15450620.818702068</v>
      </c>
      <c r="AG12" s="119">
        <f t="shared" si="2"/>
        <v>15450620.818702068</v>
      </c>
      <c r="AH12" s="119">
        <f t="shared" si="2"/>
        <v>15450620.818702068</v>
      </c>
      <c r="AI12" s="144">
        <f t="shared" si="2"/>
        <v>15450620.818702068</v>
      </c>
      <c r="AJ12" s="170">
        <f>+SUM(AJ13:AJ15)</f>
        <v>0</v>
      </c>
      <c r="AK12" s="81">
        <f t="shared" ref="AK12:AK20" si="3">+SUM(D12:AJ12)</f>
        <v>561735744.00000012</v>
      </c>
      <c r="AL12" s="21"/>
      <c r="AM12" s="21"/>
      <c r="AN12" s="21"/>
    </row>
    <row r="13" spans="1:40" x14ac:dyDescent="0.25">
      <c r="B13" s="90" t="s">
        <v>83</v>
      </c>
      <c r="D13" s="142">
        <f>+('2) Parámetros y áreas'!$D$30)*'2) Parámetros y áreas'!$H$24</f>
        <v>16317613.181297934</v>
      </c>
      <c r="E13" s="119">
        <f>+('2) Parámetros y áreas'!$D$30)*'2) Parámetros y áreas'!$H$24</f>
        <v>16317613.181297934</v>
      </c>
      <c r="F13" s="119">
        <f>+('2) Parámetros y áreas'!$D$30)*'2) Parámetros y áreas'!$H$24</f>
        <v>16317613.181297934</v>
      </c>
      <c r="G13" s="129">
        <f>+('2) Parámetros y áreas'!$D$30)*'2) Parámetros y áreas'!$H$24</f>
        <v>16317613.181297934</v>
      </c>
      <c r="H13" s="127">
        <f>+('2) Parámetros y áreas'!$D$30)*'2) Parámetros y áreas'!$I$24</f>
        <v>12110370.818702068</v>
      </c>
      <c r="I13" s="119">
        <f>+('2) Parámetros y áreas'!$D$30)*'2) Parámetros y áreas'!$I$24</f>
        <v>12110370.818702068</v>
      </c>
      <c r="J13" s="119">
        <f>+('2) Parámetros y áreas'!$D$30)*'2) Parámetros y áreas'!$I$24</f>
        <v>12110370.818702068</v>
      </c>
      <c r="K13" s="144">
        <f>+('2) Parámetros y áreas'!$D$30)*'2) Parámetros y áreas'!$I$24</f>
        <v>12110370.818702068</v>
      </c>
      <c r="L13" s="142">
        <f>+('2) Parámetros y áreas'!$D$30)*'2) Parámetros y áreas'!$H$24</f>
        <v>16317613.181297934</v>
      </c>
      <c r="M13" s="119">
        <f>+('2) Parámetros y áreas'!$D$30)*'2) Parámetros y áreas'!$H$24</f>
        <v>16317613.181297934</v>
      </c>
      <c r="N13" s="119">
        <f>+('2) Parámetros y áreas'!$D$30)*'2) Parámetros y áreas'!$H$24</f>
        <v>16317613.181297934</v>
      </c>
      <c r="O13" s="129">
        <f>+('2) Parámetros y áreas'!$D$30)*'2) Parámetros y áreas'!$H$24</f>
        <v>16317613.181297934</v>
      </c>
      <c r="P13" s="127">
        <f>+('2) Parámetros y áreas'!$D$30)*'2) Parámetros y áreas'!$I$24</f>
        <v>12110370.818702068</v>
      </c>
      <c r="Q13" s="119">
        <f>+('2) Parámetros y áreas'!$D$30)*'2) Parámetros y áreas'!$I$24</f>
        <v>12110370.818702068</v>
      </c>
      <c r="R13" s="119">
        <f>+('2) Parámetros y áreas'!$D$30)*'2) Parámetros y áreas'!$I$24</f>
        <v>12110370.818702068</v>
      </c>
      <c r="S13" s="144">
        <f>+('2) Parámetros y áreas'!$D$30)*'2) Parámetros y áreas'!$I$24</f>
        <v>12110370.818702068</v>
      </c>
      <c r="T13" s="142">
        <f>+('2) Parámetros y áreas'!$D$30)*'2) Parámetros y áreas'!$H$24</f>
        <v>16317613.181297934</v>
      </c>
      <c r="U13" s="119">
        <f>+('2) Parámetros y áreas'!$D$30)*'2) Parámetros y áreas'!$H$24</f>
        <v>16317613.181297934</v>
      </c>
      <c r="V13" s="119">
        <f>+('2) Parámetros y áreas'!$D$30)*'2) Parámetros y áreas'!$H$24</f>
        <v>16317613.181297934</v>
      </c>
      <c r="W13" s="129">
        <f>+('2) Parámetros y áreas'!$D$30)*'2) Parámetros y áreas'!$H$24</f>
        <v>16317613.181297934</v>
      </c>
      <c r="X13" s="127">
        <f>+('2) Parámetros y áreas'!$D$30)*'2) Parámetros y áreas'!$I$24</f>
        <v>12110370.818702068</v>
      </c>
      <c r="Y13" s="119">
        <f>+('2) Parámetros y áreas'!$D$30)*'2) Parámetros y áreas'!$I$24</f>
        <v>12110370.818702068</v>
      </c>
      <c r="Z13" s="119">
        <f>+('2) Parámetros y áreas'!$D$30)*'2) Parámetros y áreas'!$I$24</f>
        <v>12110370.818702068</v>
      </c>
      <c r="AA13" s="144">
        <f>+('2) Parámetros y áreas'!$D$30)*'2) Parámetros y áreas'!$I$24</f>
        <v>12110370.818702068</v>
      </c>
      <c r="AB13" s="142">
        <f>+('2) Parámetros y áreas'!$D$30)*'2) Parámetros y áreas'!$H$24</f>
        <v>16317613.181297934</v>
      </c>
      <c r="AC13" s="119">
        <f>+('2) Parámetros y áreas'!$D$30)*'2) Parámetros y áreas'!$H$24</f>
        <v>16317613.181297934</v>
      </c>
      <c r="AD13" s="119">
        <f>+('2) Parámetros y áreas'!$D$30)*'2) Parámetros y áreas'!$H$24</f>
        <v>16317613.181297934</v>
      </c>
      <c r="AE13" s="129">
        <f>+('2) Parámetros y áreas'!$D$30)*'2) Parámetros y áreas'!$H$24</f>
        <v>16317613.181297934</v>
      </c>
      <c r="AF13" s="127">
        <f>+('2) Parámetros y áreas'!$D$30)*'2) Parámetros y áreas'!$I$24</f>
        <v>12110370.818702068</v>
      </c>
      <c r="AG13" s="119">
        <f>+('2) Parámetros y áreas'!$D$30)*'2) Parámetros y áreas'!$I$24</f>
        <v>12110370.818702068</v>
      </c>
      <c r="AH13" s="119">
        <f>+('2) Parámetros y áreas'!$D$30)*'2) Parámetros y áreas'!$I$24</f>
        <v>12110370.818702068</v>
      </c>
      <c r="AI13" s="144">
        <f>+('2) Parámetros y áreas'!$D$30)*'2) Parámetros y áreas'!$I$24</f>
        <v>12110370.818702068</v>
      </c>
      <c r="AJ13" s="169"/>
      <c r="AK13" s="81">
        <f t="shared" si="3"/>
        <v>454847743.99999994</v>
      </c>
      <c r="AL13" s="21"/>
      <c r="AM13" s="21"/>
      <c r="AN13" s="21"/>
    </row>
    <row r="14" spans="1:40" x14ac:dyDescent="0.25">
      <c r="B14" s="90" t="s">
        <v>84</v>
      </c>
      <c r="D14" s="142">
        <f>+('2) Parámetros y áreas'!$E$40+'2) Parámetros y áreas'!$E$41)/32</f>
        <v>415250</v>
      </c>
      <c r="E14" s="119">
        <f>+('2) Parámetros y áreas'!$E$40+'2) Parámetros y áreas'!$E$41)/32</f>
        <v>415250</v>
      </c>
      <c r="F14" s="119">
        <f>+('2) Parámetros y áreas'!$E$40+'2) Parámetros y áreas'!$E$41)/32</f>
        <v>415250</v>
      </c>
      <c r="G14" s="129">
        <f>+('2) Parámetros y áreas'!$E$40+'2) Parámetros y áreas'!$E$41)/32</f>
        <v>415250</v>
      </c>
      <c r="H14" s="127">
        <f>+('2) Parámetros y áreas'!$E$40+'2) Parámetros y áreas'!$E$41)/32</f>
        <v>415250</v>
      </c>
      <c r="I14" s="119">
        <f>+('2) Parámetros y áreas'!$E$40+'2) Parámetros y áreas'!$E$41)/32</f>
        <v>415250</v>
      </c>
      <c r="J14" s="119">
        <f>+('2) Parámetros y áreas'!$E$40+'2) Parámetros y áreas'!$E$41)/32</f>
        <v>415250</v>
      </c>
      <c r="K14" s="144">
        <f>+('2) Parámetros y áreas'!$E$40+'2) Parámetros y áreas'!$E$41)/32</f>
        <v>415250</v>
      </c>
      <c r="L14" s="142">
        <f>+('2) Parámetros y áreas'!$E$40+'2) Parámetros y áreas'!$E$41)/32</f>
        <v>415250</v>
      </c>
      <c r="M14" s="119">
        <f>+('2) Parámetros y áreas'!$E$40+'2) Parámetros y áreas'!$E$41)/32</f>
        <v>415250</v>
      </c>
      <c r="N14" s="119">
        <f>+('2) Parámetros y áreas'!$E$40+'2) Parámetros y áreas'!$E$41)/32</f>
        <v>415250</v>
      </c>
      <c r="O14" s="129">
        <f>+('2) Parámetros y áreas'!$E$40+'2) Parámetros y áreas'!$E$41)/32</f>
        <v>415250</v>
      </c>
      <c r="P14" s="127">
        <f>+('2) Parámetros y áreas'!$E$40+'2) Parámetros y áreas'!$E$41)/32</f>
        <v>415250</v>
      </c>
      <c r="Q14" s="119">
        <f>+('2) Parámetros y áreas'!$E$40+'2) Parámetros y áreas'!$E$41)/32</f>
        <v>415250</v>
      </c>
      <c r="R14" s="119">
        <f>+('2) Parámetros y áreas'!$E$40+'2) Parámetros y áreas'!$E$41)/32</f>
        <v>415250</v>
      </c>
      <c r="S14" s="144">
        <f>+('2) Parámetros y áreas'!$E$40+'2) Parámetros y áreas'!$E$41)/32</f>
        <v>415250</v>
      </c>
      <c r="T14" s="142">
        <f>+('2) Parámetros y áreas'!$E$40+'2) Parámetros y áreas'!$E$41)/32</f>
        <v>415250</v>
      </c>
      <c r="U14" s="119">
        <f>+('2) Parámetros y áreas'!$E$40+'2) Parámetros y áreas'!$E$41)/32</f>
        <v>415250</v>
      </c>
      <c r="V14" s="119">
        <f>+('2) Parámetros y áreas'!$E$40+'2) Parámetros y áreas'!$E$41)/32</f>
        <v>415250</v>
      </c>
      <c r="W14" s="129">
        <f>+('2) Parámetros y áreas'!$E$40+'2) Parámetros y áreas'!$E$41)/32</f>
        <v>415250</v>
      </c>
      <c r="X14" s="127">
        <f>+('2) Parámetros y áreas'!$E$40+'2) Parámetros y áreas'!$E$41)/32</f>
        <v>415250</v>
      </c>
      <c r="Y14" s="119">
        <f>+('2) Parámetros y áreas'!$E$40+'2) Parámetros y áreas'!$E$41)/32</f>
        <v>415250</v>
      </c>
      <c r="Z14" s="119">
        <f>+('2) Parámetros y áreas'!$E$40+'2) Parámetros y áreas'!$E$41)/32</f>
        <v>415250</v>
      </c>
      <c r="AA14" s="144">
        <f>+('2) Parámetros y áreas'!$E$40+'2) Parámetros y áreas'!$E$41)/32</f>
        <v>415250</v>
      </c>
      <c r="AB14" s="142">
        <f>+('2) Parámetros y áreas'!$E$40+'2) Parámetros y áreas'!$E$41)/32</f>
        <v>415250</v>
      </c>
      <c r="AC14" s="119">
        <f>+('2) Parámetros y áreas'!$E$40+'2) Parámetros y áreas'!$E$41)/32</f>
        <v>415250</v>
      </c>
      <c r="AD14" s="119">
        <f>+('2) Parámetros y áreas'!$E$40+'2) Parámetros y áreas'!$E$41)/32</f>
        <v>415250</v>
      </c>
      <c r="AE14" s="129">
        <f>+('2) Parámetros y áreas'!$E$40+'2) Parámetros y áreas'!$E$41)/32</f>
        <v>415250</v>
      </c>
      <c r="AF14" s="127">
        <f>+('2) Parámetros y áreas'!$E$40+'2) Parámetros y áreas'!$E$41)/32</f>
        <v>415250</v>
      </c>
      <c r="AG14" s="119">
        <f>+('2) Parámetros y áreas'!$E$40+'2) Parámetros y áreas'!$E$41)/32</f>
        <v>415250</v>
      </c>
      <c r="AH14" s="119">
        <f>+('2) Parámetros y áreas'!$E$40+'2) Parámetros y áreas'!$E$41)/32</f>
        <v>415250</v>
      </c>
      <c r="AI14" s="144">
        <f>+('2) Parámetros y áreas'!$E$40+'2) Parámetros y áreas'!$E$41)/32</f>
        <v>415250</v>
      </c>
      <c r="AJ14" s="169"/>
      <c r="AK14" s="81">
        <f t="shared" si="3"/>
        <v>13288000</v>
      </c>
      <c r="AL14" s="21"/>
      <c r="AM14" s="21"/>
      <c r="AN14" s="21"/>
    </row>
    <row r="15" spans="1:40" x14ac:dyDescent="0.25">
      <c r="B15" s="41" t="s">
        <v>94</v>
      </c>
      <c r="D15" s="142">
        <f>+'2) Parámetros y áreas'!$K$17/2</f>
        <v>2925000</v>
      </c>
      <c r="E15" s="142">
        <f>+'2) Parámetros y áreas'!$K$17/2</f>
        <v>2925000</v>
      </c>
      <c r="F15" s="142">
        <f>+'2) Parámetros y áreas'!$K$17/2</f>
        <v>2925000</v>
      </c>
      <c r="G15" s="142">
        <f>+'2) Parámetros y áreas'!$K$17/2</f>
        <v>2925000</v>
      </c>
      <c r="H15" s="142">
        <f>+'2) Parámetros y áreas'!$K$17/2</f>
        <v>2925000</v>
      </c>
      <c r="I15" s="142">
        <f>+'2) Parámetros y áreas'!$K$17/2</f>
        <v>2925000</v>
      </c>
      <c r="J15" s="142">
        <f>+'2) Parámetros y áreas'!$K$17/2</f>
        <v>2925000</v>
      </c>
      <c r="K15" s="142">
        <f>+'2) Parámetros y áreas'!$K$17/2</f>
        <v>2925000</v>
      </c>
      <c r="L15" s="142">
        <f>+'2) Parámetros y áreas'!$K$17/2</f>
        <v>2925000</v>
      </c>
      <c r="M15" s="142">
        <f>+'2) Parámetros y áreas'!$K$17/2</f>
        <v>2925000</v>
      </c>
      <c r="N15" s="142">
        <f>+'2) Parámetros y áreas'!$K$17/2</f>
        <v>2925000</v>
      </c>
      <c r="O15" s="142">
        <f>+'2) Parámetros y áreas'!$K$17/2</f>
        <v>2925000</v>
      </c>
      <c r="P15" s="142">
        <f>+'2) Parámetros y áreas'!$K$17/2</f>
        <v>2925000</v>
      </c>
      <c r="Q15" s="142">
        <f>+'2) Parámetros y áreas'!$K$17/2</f>
        <v>2925000</v>
      </c>
      <c r="R15" s="142">
        <f>+'2) Parámetros y áreas'!$K$17/2</f>
        <v>2925000</v>
      </c>
      <c r="S15" s="142">
        <f>+'2) Parámetros y áreas'!$K$17/2</f>
        <v>2925000</v>
      </c>
      <c r="T15" s="142">
        <f>+'2) Parámetros y áreas'!$K$17/2</f>
        <v>2925000</v>
      </c>
      <c r="U15" s="142">
        <f>+'2) Parámetros y áreas'!$K$17/2</f>
        <v>2925000</v>
      </c>
      <c r="V15" s="142">
        <f>+'2) Parámetros y áreas'!$K$17/2</f>
        <v>2925000</v>
      </c>
      <c r="W15" s="142">
        <f>+'2) Parámetros y áreas'!$K$17/2</f>
        <v>2925000</v>
      </c>
      <c r="X15" s="142">
        <f>+'2) Parámetros y áreas'!$K$17/2</f>
        <v>2925000</v>
      </c>
      <c r="Y15" s="142">
        <f>+'2) Parámetros y áreas'!$K$17/2</f>
        <v>2925000</v>
      </c>
      <c r="Z15" s="142">
        <f>+'2) Parámetros y áreas'!$K$17/2</f>
        <v>2925000</v>
      </c>
      <c r="AA15" s="142">
        <f>+'2) Parámetros y áreas'!$K$17/2</f>
        <v>2925000</v>
      </c>
      <c r="AB15" s="142">
        <f>+'2) Parámetros y áreas'!$K$17/2</f>
        <v>2925000</v>
      </c>
      <c r="AC15" s="142">
        <f>+'2) Parámetros y áreas'!$K$17/2</f>
        <v>2925000</v>
      </c>
      <c r="AD15" s="142">
        <f>+'2) Parámetros y áreas'!$K$17/2</f>
        <v>2925000</v>
      </c>
      <c r="AE15" s="142">
        <f>+'2) Parámetros y áreas'!$K$17/2</f>
        <v>2925000</v>
      </c>
      <c r="AF15" s="142">
        <f>+'2) Parámetros y áreas'!$K$17/2</f>
        <v>2925000</v>
      </c>
      <c r="AG15" s="142">
        <f>+'2) Parámetros y áreas'!$K$17/2</f>
        <v>2925000</v>
      </c>
      <c r="AH15" s="142">
        <f>+'2) Parámetros y áreas'!$K$17/2</f>
        <v>2925000</v>
      </c>
      <c r="AI15" s="142">
        <f>+'2) Parámetros y áreas'!$K$17/2</f>
        <v>2925000</v>
      </c>
      <c r="AJ15" s="169"/>
      <c r="AK15" s="81">
        <f t="shared" si="3"/>
        <v>93600000</v>
      </c>
      <c r="AL15" s="21"/>
      <c r="AM15" s="21"/>
      <c r="AN15" s="21"/>
    </row>
    <row r="16" spans="1:40" x14ac:dyDescent="0.25">
      <c r="A16" s="79">
        <v>0.02</v>
      </c>
      <c r="B16" s="41" t="s">
        <v>76</v>
      </c>
      <c r="D16" s="145">
        <f>D12*$A$16</f>
        <v>393157.2636259587</v>
      </c>
      <c r="E16" s="48">
        <f t="shared" ref="E16:AI16" si="4">E12*$A$16</f>
        <v>393157.2636259587</v>
      </c>
      <c r="F16" s="48">
        <f t="shared" si="4"/>
        <v>393157.2636259587</v>
      </c>
      <c r="G16" s="131">
        <f t="shared" si="4"/>
        <v>393157.2636259587</v>
      </c>
      <c r="H16" s="130">
        <f t="shared" si="4"/>
        <v>309012.41637404135</v>
      </c>
      <c r="I16" s="48">
        <f t="shared" si="4"/>
        <v>309012.41637404135</v>
      </c>
      <c r="J16" s="48">
        <f t="shared" si="4"/>
        <v>309012.41637404135</v>
      </c>
      <c r="K16" s="146">
        <f t="shared" si="4"/>
        <v>309012.41637404135</v>
      </c>
      <c r="L16" s="145">
        <f t="shared" si="4"/>
        <v>393157.2636259587</v>
      </c>
      <c r="M16" s="48">
        <f t="shared" si="4"/>
        <v>393157.2636259587</v>
      </c>
      <c r="N16" s="48">
        <f t="shared" si="4"/>
        <v>393157.2636259587</v>
      </c>
      <c r="O16" s="131">
        <f t="shared" si="4"/>
        <v>393157.2636259587</v>
      </c>
      <c r="P16" s="130">
        <f t="shared" si="4"/>
        <v>309012.41637404135</v>
      </c>
      <c r="Q16" s="48">
        <f t="shared" si="4"/>
        <v>309012.41637404135</v>
      </c>
      <c r="R16" s="48">
        <f t="shared" si="4"/>
        <v>309012.41637404135</v>
      </c>
      <c r="S16" s="146">
        <f t="shared" si="4"/>
        <v>309012.41637404135</v>
      </c>
      <c r="T16" s="145">
        <f t="shared" si="4"/>
        <v>393157.2636259587</v>
      </c>
      <c r="U16" s="48">
        <f t="shared" si="4"/>
        <v>393157.2636259587</v>
      </c>
      <c r="V16" s="48">
        <f t="shared" si="4"/>
        <v>393157.2636259587</v>
      </c>
      <c r="W16" s="131">
        <f t="shared" si="4"/>
        <v>393157.2636259587</v>
      </c>
      <c r="X16" s="130">
        <f t="shared" si="4"/>
        <v>309012.41637404135</v>
      </c>
      <c r="Y16" s="48">
        <f t="shared" si="4"/>
        <v>309012.41637404135</v>
      </c>
      <c r="Z16" s="48">
        <f t="shared" si="4"/>
        <v>309012.41637404135</v>
      </c>
      <c r="AA16" s="146">
        <f t="shared" si="4"/>
        <v>309012.41637404135</v>
      </c>
      <c r="AB16" s="145">
        <f t="shared" si="4"/>
        <v>393157.2636259587</v>
      </c>
      <c r="AC16" s="48">
        <f t="shared" si="4"/>
        <v>393157.2636259587</v>
      </c>
      <c r="AD16" s="48">
        <f t="shared" si="4"/>
        <v>393157.2636259587</v>
      </c>
      <c r="AE16" s="131">
        <f t="shared" si="4"/>
        <v>393157.2636259587</v>
      </c>
      <c r="AF16" s="130">
        <f t="shared" si="4"/>
        <v>309012.41637404135</v>
      </c>
      <c r="AG16" s="48">
        <f t="shared" si="4"/>
        <v>309012.41637404135</v>
      </c>
      <c r="AH16" s="48">
        <f t="shared" si="4"/>
        <v>309012.41637404135</v>
      </c>
      <c r="AI16" s="146">
        <f t="shared" si="4"/>
        <v>309012.41637404135</v>
      </c>
      <c r="AJ16" s="171">
        <f>AJ12*$A$16</f>
        <v>0</v>
      </c>
      <c r="AK16" s="81">
        <f t="shared" si="3"/>
        <v>11234714.880000003</v>
      </c>
      <c r="AL16" s="21"/>
      <c r="AM16" s="21"/>
      <c r="AN16" s="21"/>
    </row>
    <row r="17" spans="1:40" x14ac:dyDescent="0.25">
      <c r="A17" s="79">
        <f>5*1.16%</f>
        <v>5.7999999999999996E-2</v>
      </c>
      <c r="B17" s="41" t="s">
        <v>77</v>
      </c>
      <c r="D17" s="145">
        <f>+D6*$A$17</f>
        <v>2825833.8691586382</v>
      </c>
      <c r="E17" s="48">
        <f t="shared" ref="E17:AJ17" si="5">+E6*$A$17</f>
        <v>2825833.8691586382</v>
      </c>
      <c r="F17" s="48">
        <f t="shared" si="5"/>
        <v>2825833.8691586382</v>
      </c>
      <c r="G17" s="131">
        <f t="shared" si="5"/>
        <v>652500</v>
      </c>
      <c r="H17" s="130">
        <f t="shared" si="5"/>
        <v>652500</v>
      </c>
      <c r="I17" s="48">
        <f t="shared" si="5"/>
        <v>652500</v>
      </c>
      <c r="J17" s="48">
        <f t="shared" si="5"/>
        <v>5065026.340412993</v>
      </c>
      <c r="K17" s="146">
        <f t="shared" si="5"/>
        <v>5065026.340412993</v>
      </c>
      <c r="L17" s="145">
        <f t="shared" si="5"/>
        <v>7238360.2095716316</v>
      </c>
      <c r="M17" s="48">
        <f t="shared" si="5"/>
        <v>2825833.8691586382</v>
      </c>
      <c r="N17" s="48">
        <f t="shared" si="5"/>
        <v>2825833.8691586382</v>
      </c>
      <c r="O17" s="131">
        <f t="shared" si="5"/>
        <v>652500</v>
      </c>
      <c r="P17" s="130">
        <f t="shared" si="5"/>
        <v>652500</v>
      </c>
      <c r="Q17" s="48">
        <f t="shared" si="5"/>
        <v>652500</v>
      </c>
      <c r="R17" s="48">
        <f t="shared" si="5"/>
        <v>5065026.340412993</v>
      </c>
      <c r="S17" s="146">
        <f t="shared" si="5"/>
        <v>5065026.340412993</v>
      </c>
      <c r="T17" s="145">
        <f t="shared" si="5"/>
        <v>7238360.2095716316</v>
      </c>
      <c r="U17" s="48">
        <f t="shared" si="5"/>
        <v>2825833.8691586382</v>
      </c>
      <c r="V17" s="48">
        <f t="shared" si="5"/>
        <v>2825833.8691586382</v>
      </c>
      <c r="W17" s="131">
        <f t="shared" si="5"/>
        <v>652500</v>
      </c>
      <c r="X17" s="130">
        <f t="shared" si="5"/>
        <v>652500</v>
      </c>
      <c r="Y17" s="48">
        <f t="shared" si="5"/>
        <v>652500</v>
      </c>
      <c r="Z17" s="48">
        <f t="shared" si="5"/>
        <v>5065026.340412993</v>
      </c>
      <c r="AA17" s="146">
        <f t="shared" si="5"/>
        <v>5065026.340412993</v>
      </c>
      <c r="AB17" s="145">
        <f t="shared" si="5"/>
        <v>7238360.2095716316</v>
      </c>
      <c r="AC17" s="48">
        <f t="shared" si="5"/>
        <v>2825833.8691586382</v>
      </c>
      <c r="AD17" s="48">
        <f t="shared" si="5"/>
        <v>2825833.8691586382</v>
      </c>
      <c r="AE17" s="131">
        <f t="shared" si="5"/>
        <v>652500</v>
      </c>
      <c r="AF17" s="130">
        <f t="shared" si="5"/>
        <v>652500</v>
      </c>
      <c r="AG17" s="48">
        <f t="shared" si="5"/>
        <v>652500</v>
      </c>
      <c r="AH17" s="48">
        <f t="shared" si="5"/>
        <v>5065026.340412993</v>
      </c>
      <c r="AI17" s="146">
        <f t="shared" si="5"/>
        <v>5065026.340412993</v>
      </c>
      <c r="AJ17" s="171">
        <f t="shared" si="5"/>
        <v>4412526.340412993</v>
      </c>
      <c r="AK17" s="81">
        <f t="shared" si="3"/>
        <v>99910322.514859557</v>
      </c>
      <c r="AL17" s="21"/>
      <c r="AM17" s="21"/>
      <c r="AN17" s="21"/>
    </row>
    <row r="18" spans="1:40" x14ac:dyDescent="0.25">
      <c r="A18" s="79">
        <v>5.8000000000000003E-2</v>
      </c>
      <c r="B18" s="41" t="s">
        <v>78</v>
      </c>
      <c r="D18" s="145">
        <f>D12*$A$18</f>
        <v>1140156.0645152803</v>
      </c>
      <c r="E18" s="48">
        <f t="shared" ref="E18:AJ18" si="6">E12*$A$18</f>
        <v>1140156.0645152803</v>
      </c>
      <c r="F18" s="48">
        <f t="shared" si="6"/>
        <v>1140156.0645152803</v>
      </c>
      <c r="G18" s="131">
        <f t="shared" si="6"/>
        <v>1140156.0645152803</v>
      </c>
      <c r="H18" s="130">
        <f t="shared" si="6"/>
        <v>896136.00748471997</v>
      </c>
      <c r="I18" s="48">
        <f t="shared" si="6"/>
        <v>896136.00748471997</v>
      </c>
      <c r="J18" s="48">
        <f t="shared" si="6"/>
        <v>896136.00748471997</v>
      </c>
      <c r="K18" s="146">
        <f t="shared" si="6"/>
        <v>896136.00748471997</v>
      </c>
      <c r="L18" s="145">
        <f t="shared" si="6"/>
        <v>1140156.0645152803</v>
      </c>
      <c r="M18" s="48">
        <f t="shared" si="6"/>
        <v>1140156.0645152803</v>
      </c>
      <c r="N18" s="48">
        <f t="shared" si="6"/>
        <v>1140156.0645152803</v>
      </c>
      <c r="O18" s="131">
        <f t="shared" si="6"/>
        <v>1140156.0645152803</v>
      </c>
      <c r="P18" s="130">
        <f t="shared" si="6"/>
        <v>896136.00748471997</v>
      </c>
      <c r="Q18" s="48">
        <f t="shared" si="6"/>
        <v>896136.00748471997</v>
      </c>
      <c r="R18" s="48">
        <f t="shared" si="6"/>
        <v>896136.00748471997</v>
      </c>
      <c r="S18" s="146">
        <f t="shared" si="6"/>
        <v>896136.00748471997</v>
      </c>
      <c r="T18" s="145">
        <f t="shared" si="6"/>
        <v>1140156.0645152803</v>
      </c>
      <c r="U18" s="48">
        <f t="shared" si="6"/>
        <v>1140156.0645152803</v>
      </c>
      <c r="V18" s="48">
        <f t="shared" si="6"/>
        <v>1140156.0645152803</v>
      </c>
      <c r="W18" s="131">
        <f t="shared" si="6"/>
        <v>1140156.0645152803</v>
      </c>
      <c r="X18" s="130">
        <f t="shared" si="6"/>
        <v>896136.00748471997</v>
      </c>
      <c r="Y18" s="48">
        <f t="shared" si="6"/>
        <v>896136.00748471997</v>
      </c>
      <c r="Z18" s="48">
        <f t="shared" si="6"/>
        <v>896136.00748471997</v>
      </c>
      <c r="AA18" s="146">
        <f t="shared" si="6"/>
        <v>896136.00748471997</v>
      </c>
      <c r="AB18" s="145">
        <f t="shared" si="6"/>
        <v>1140156.0645152803</v>
      </c>
      <c r="AC18" s="48">
        <f t="shared" si="6"/>
        <v>1140156.0645152803</v>
      </c>
      <c r="AD18" s="48">
        <f t="shared" si="6"/>
        <v>1140156.0645152803</v>
      </c>
      <c r="AE18" s="131">
        <f t="shared" si="6"/>
        <v>1140156.0645152803</v>
      </c>
      <c r="AF18" s="130">
        <f t="shared" si="6"/>
        <v>896136.00748471997</v>
      </c>
      <c r="AG18" s="48">
        <f t="shared" si="6"/>
        <v>896136.00748471997</v>
      </c>
      <c r="AH18" s="48">
        <f t="shared" si="6"/>
        <v>896136.00748471997</v>
      </c>
      <c r="AI18" s="146">
        <f t="shared" si="6"/>
        <v>896136.00748471997</v>
      </c>
      <c r="AJ18" s="171">
        <f t="shared" si="6"/>
        <v>0</v>
      </c>
      <c r="AK18" s="81">
        <f t="shared" si="3"/>
        <v>32580673.152000003</v>
      </c>
      <c r="AL18" s="21"/>
      <c r="AM18" s="21"/>
      <c r="AN18" s="21"/>
    </row>
    <row r="19" spans="1:40" x14ac:dyDescent="0.25">
      <c r="A19" s="79">
        <v>0.20300000000000001</v>
      </c>
      <c r="B19" s="41" t="s">
        <v>79</v>
      </c>
      <c r="D19" s="145">
        <f>D12*$A$19</f>
        <v>3990546.2258034814</v>
      </c>
      <c r="E19" s="48">
        <f t="shared" ref="E19:AJ19" si="7">E12*$A$19</f>
        <v>3990546.2258034814</v>
      </c>
      <c r="F19" s="48">
        <f t="shared" si="7"/>
        <v>3990546.2258034814</v>
      </c>
      <c r="G19" s="131">
        <f t="shared" si="7"/>
        <v>3990546.2258034814</v>
      </c>
      <c r="H19" s="130">
        <f t="shared" si="7"/>
        <v>3136476.0261965198</v>
      </c>
      <c r="I19" s="48">
        <f t="shared" si="7"/>
        <v>3136476.0261965198</v>
      </c>
      <c r="J19" s="48">
        <f t="shared" si="7"/>
        <v>3136476.0261965198</v>
      </c>
      <c r="K19" s="146">
        <f t="shared" si="7"/>
        <v>3136476.0261965198</v>
      </c>
      <c r="L19" s="145">
        <f t="shared" si="7"/>
        <v>3990546.2258034814</v>
      </c>
      <c r="M19" s="48">
        <f t="shared" si="7"/>
        <v>3990546.2258034814</v>
      </c>
      <c r="N19" s="48">
        <f t="shared" si="7"/>
        <v>3990546.2258034814</v>
      </c>
      <c r="O19" s="131">
        <f t="shared" si="7"/>
        <v>3990546.2258034814</v>
      </c>
      <c r="P19" s="130">
        <f t="shared" si="7"/>
        <v>3136476.0261965198</v>
      </c>
      <c r="Q19" s="48">
        <f t="shared" si="7"/>
        <v>3136476.0261965198</v>
      </c>
      <c r="R19" s="48">
        <f t="shared" si="7"/>
        <v>3136476.0261965198</v>
      </c>
      <c r="S19" s="146">
        <f t="shared" si="7"/>
        <v>3136476.0261965198</v>
      </c>
      <c r="T19" s="145">
        <f t="shared" si="7"/>
        <v>3990546.2258034814</v>
      </c>
      <c r="U19" s="48">
        <f t="shared" si="7"/>
        <v>3990546.2258034814</v>
      </c>
      <c r="V19" s="48">
        <f t="shared" si="7"/>
        <v>3990546.2258034814</v>
      </c>
      <c r="W19" s="131">
        <f t="shared" si="7"/>
        <v>3990546.2258034814</v>
      </c>
      <c r="X19" s="130">
        <f t="shared" si="7"/>
        <v>3136476.0261965198</v>
      </c>
      <c r="Y19" s="48">
        <f t="shared" si="7"/>
        <v>3136476.0261965198</v>
      </c>
      <c r="Z19" s="48">
        <f t="shared" si="7"/>
        <v>3136476.0261965198</v>
      </c>
      <c r="AA19" s="146">
        <f t="shared" si="7"/>
        <v>3136476.0261965198</v>
      </c>
      <c r="AB19" s="145">
        <f t="shared" si="7"/>
        <v>3990546.2258034814</v>
      </c>
      <c r="AC19" s="48">
        <f t="shared" si="7"/>
        <v>3990546.2258034814</v>
      </c>
      <c r="AD19" s="48">
        <f t="shared" si="7"/>
        <v>3990546.2258034814</v>
      </c>
      <c r="AE19" s="131">
        <f t="shared" si="7"/>
        <v>3990546.2258034814</v>
      </c>
      <c r="AF19" s="130">
        <f t="shared" si="7"/>
        <v>3136476.0261965198</v>
      </c>
      <c r="AG19" s="48">
        <f t="shared" si="7"/>
        <v>3136476.0261965198</v>
      </c>
      <c r="AH19" s="48">
        <f t="shared" si="7"/>
        <v>3136476.0261965198</v>
      </c>
      <c r="AI19" s="146">
        <f t="shared" si="7"/>
        <v>3136476.0261965198</v>
      </c>
      <c r="AJ19" s="171">
        <f t="shared" si="7"/>
        <v>0</v>
      </c>
      <c r="AK19" s="81">
        <f t="shared" si="3"/>
        <v>114032356.03200004</v>
      </c>
      <c r="AL19" s="21"/>
      <c r="AM19" s="21"/>
      <c r="AN19" s="21"/>
    </row>
    <row r="20" spans="1:40" x14ac:dyDescent="0.25">
      <c r="A20" s="79">
        <f>0.035*1.16</f>
        <v>4.0600000000000004E-2</v>
      </c>
      <c r="B20" s="41" t="s">
        <v>80</v>
      </c>
      <c r="D20" s="145">
        <f>+D6*$A$20</f>
        <v>1978083.708411047</v>
      </c>
      <c r="E20" s="48">
        <f t="shared" ref="E20:AJ20" si="8">+E6*$A$20</f>
        <v>1978083.708411047</v>
      </c>
      <c r="F20" s="48">
        <f t="shared" si="8"/>
        <v>1978083.708411047</v>
      </c>
      <c r="G20" s="131">
        <f t="shared" si="8"/>
        <v>456750.00000000006</v>
      </c>
      <c r="H20" s="130">
        <f t="shared" si="8"/>
        <v>456750.00000000006</v>
      </c>
      <c r="I20" s="48">
        <f t="shared" si="8"/>
        <v>456750.00000000006</v>
      </c>
      <c r="J20" s="48">
        <f t="shared" si="8"/>
        <v>3545518.4382890956</v>
      </c>
      <c r="K20" s="146">
        <f t="shared" si="8"/>
        <v>3545518.4382890956</v>
      </c>
      <c r="L20" s="145">
        <f t="shared" si="8"/>
        <v>5066852.1467001429</v>
      </c>
      <c r="M20" s="48">
        <f t="shared" si="8"/>
        <v>1978083.708411047</v>
      </c>
      <c r="N20" s="48">
        <f t="shared" si="8"/>
        <v>1978083.708411047</v>
      </c>
      <c r="O20" s="131">
        <f t="shared" si="8"/>
        <v>456750.00000000006</v>
      </c>
      <c r="P20" s="130">
        <f t="shared" si="8"/>
        <v>456750.00000000006</v>
      </c>
      <c r="Q20" s="48">
        <f t="shared" si="8"/>
        <v>456750.00000000006</v>
      </c>
      <c r="R20" s="48">
        <f t="shared" si="8"/>
        <v>3545518.4382890956</v>
      </c>
      <c r="S20" s="146">
        <f t="shared" si="8"/>
        <v>3545518.4382890956</v>
      </c>
      <c r="T20" s="145">
        <f t="shared" si="8"/>
        <v>5066852.1467001429</v>
      </c>
      <c r="U20" s="48">
        <f t="shared" si="8"/>
        <v>1978083.708411047</v>
      </c>
      <c r="V20" s="48">
        <f t="shared" si="8"/>
        <v>1978083.708411047</v>
      </c>
      <c r="W20" s="131">
        <f t="shared" si="8"/>
        <v>456750.00000000006</v>
      </c>
      <c r="X20" s="130">
        <f t="shared" si="8"/>
        <v>456750.00000000006</v>
      </c>
      <c r="Y20" s="48">
        <f t="shared" si="8"/>
        <v>456750.00000000006</v>
      </c>
      <c r="Z20" s="48">
        <f t="shared" si="8"/>
        <v>3545518.4382890956</v>
      </c>
      <c r="AA20" s="146">
        <f t="shared" si="8"/>
        <v>3545518.4382890956</v>
      </c>
      <c r="AB20" s="145">
        <f t="shared" si="8"/>
        <v>5066852.1467001429</v>
      </c>
      <c r="AC20" s="48">
        <f t="shared" si="8"/>
        <v>1978083.708411047</v>
      </c>
      <c r="AD20" s="48">
        <f t="shared" si="8"/>
        <v>1978083.708411047</v>
      </c>
      <c r="AE20" s="131">
        <f t="shared" si="8"/>
        <v>456750.00000000006</v>
      </c>
      <c r="AF20" s="130">
        <f t="shared" si="8"/>
        <v>456750.00000000006</v>
      </c>
      <c r="AG20" s="48">
        <f t="shared" si="8"/>
        <v>456750.00000000006</v>
      </c>
      <c r="AH20" s="48">
        <f t="shared" si="8"/>
        <v>3545518.4382890956</v>
      </c>
      <c r="AI20" s="146">
        <f t="shared" si="8"/>
        <v>3545518.4382890956</v>
      </c>
      <c r="AJ20" s="171">
        <f t="shared" si="8"/>
        <v>3088768.4382890956</v>
      </c>
      <c r="AK20" s="81">
        <f t="shared" si="3"/>
        <v>69937225.760401711</v>
      </c>
      <c r="AL20" s="21"/>
      <c r="AM20" s="21"/>
      <c r="AN20" s="21"/>
    </row>
    <row r="21" spans="1:40" x14ac:dyDescent="0.25">
      <c r="B21" s="42" t="s">
        <v>103</v>
      </c>
      <c r="D21" s="147">
        <f>+D6-D12-SUM(D16:D20)</f>
        <v>18735633.293371074</v>
      </c>
      <c r="E21" s="49">
        <f t="shared" ref="E21:AJ21" si="9">+E6-E12-SUM(E16:E20)</f>
        <v>18735633.293371074</v>
      </c>
      <c r="F21" s="49">
        <f t="shared" si="9"/>
        <v>18735633.293371074</v>
      </c>
      <c r="G21" s="133">
        <f t="shared" si="9"/>
        <v>-15040972.735242656</v>
      </c>
      <c r="H21" s="132">
        <f t="shared" si="9"/>
        <v>-9651495.2687573489</v>
      </c>
      <c r="I21" s="49">
        <f t="shared" si="9"/>
        <v>-9651495.2687573489</v>
      </c>
      <c r="J21" s="49">
        <f t="shared" si="9"/>
        <v>58925250.304488719</v>
      </c>
      <c r="K21" s="148">
        <f t="shared" si="9"/>
        <v>58925250.304488719</v>
      </c>
      <c r="L21" s="147">
        <f t="shared" si="9"/>
        <v>87312378.866617158</v>
      </c>
      <c r="M21" s="49">
        <f t="shared" si="9"/>
        <v>18735633.293371074</v>
      </c>
      <c r="N21" s="49">
        <f t="shared" si="9"/>
        <v>18735633.293371074</v>
      </c>
      <c r="O21" s="133">
        <f t="shared" si="9"/>
        <v>-15040972.735242656</v>
      </c>
      <c r="P21" s="132">
        <f t="shared" si="9"/>
        <v>-9651495.2687573489</v>
      </c>
      <c r="Q21" s="49">
        <f t="shared" si="9"/>
        <v>-9651495.2687573489</v>
      </c>
      <c r="R21" s="49">
        <f t="shared" si="9"/>
        <v>58925250.304488719</v>
      </c>
      <c r="S21" s="148">
        <f t="shared" si="9"/>
        <v>58925250.304488719</v>
      </c>
      <c r="T21" s="147">
        <f t="shared" si="9"/>
        <v>87312378.866617158</v>
      </c>
      <c r="U21" s="49">
        <f t="shared" si="9"/>
        <v>18735633.293371074</v>
      </c>
      <c r="V21" s="49">
        <f t="shared" si="9"/>
        <v>18735633.293371074</v>
      </c>
      <c r="W21" s="133">
        <f t="shared" si="9"/>
        <v>-15040972.735242656</v>
      </c>
      <c r="X21" s="132">
        <f t="shared" si="9"/>
        <v>-9651495.2687573489</v>
      </c>
      <c r="Y21" s="49">
        <f t="shared" si="9"/>
        <v>-9651495.2687573489</v>
      </c>
      <c r="Z21" s="49">
        <f t="shared" si="9"/>
        <v>58925250.304488719</v>
      </c>
      <c r="AA21" s="148">
        <f t="shared" si="9"/>
        <v>58925250.304488719</v>
      </c>
      <c r="AB21" s="147">
        <f t="shared" si="9"/>
        <v>87312378.866617158</v>
      </c>
      <c r="AC21" s="49">
        <f t="shared" si="9"/>
        <v>18735633.293371074</v>
      </c>
      <c r="AD21" s="49">
        <f t="shared" si="9"/>
        <v>18735633.293371074</v>
      </c>
      <c r="AE21" s="133">
        <f t="shared" si="9"/>
        <v>-15040972.735242656</v>
      </c>
      <c r="AF21" s="132">
        <f t="shared" si="9"/>
        <v>-9651495.2687573489</v>
      </c>
      <c r="AG21" s="49">
        <f t="shared" si="9"/>
        <v>-9651495.2687573489</v>
      </c>
      <c r="AH21" s="49">
        <f t="shared" si="9"/>
        <v>58925250.304488719</v>
      </c>
      <c r="AI21" s="148">
        <f t="shared" si="9"/>
        <v>58925250.304488719</v>
      </c>
      <c r="AJ21" s="172">
        <f t="shared" si="9"/>
        <v>68576745.573246062</v>
      </c>
      <c r="AK21" s="49">
        <f>+SUM(D21:AJ21)</f>
        <v>833160731.15831757</v>
      </c>
      <c r="AL21" s="21"/>
      <c r="AM21" s="21"/>
      <c r="AN21" s="21"/>
    </row>
    <row r="22" spans="1:40" x14ac:dyDescent="0.25">
      <c r="B22" s="41" t="s">
        <v>55</v>
      </c>
      <c r="D22" s="149"/>
      <c r="E22" s="84"/>
      <c r="F22" s="84"/>
      <c r="G22" s="128"/>
      <c r="H22" s="134"/>
      <c r="I22" s="84"/>
      <c r="J22" s="84"/>
      <c r="K22" s="143"/>
      <c r="L22" s="149"/>
      <c r="M22" s="84"/>
      <c r="N22" s="84"/>
      <c r="O22" s="128"/>
      <c r="P22" s="134"/>
      <c r="Q22" s="84"/>
      <c r="R22" s="84"/>
      <c r="S22" s="143"/>
      <c r="T22" s="149"/>
      <c r="U22" s="84"/>
      <c r="V22" s="84"/>
      <c r="W22" s="128"/>
      <c r="X22" s="134"/>
      <c r="Y22" s="84"/>
      <c r="Z22" s="84"/>
      <c r="AA22" s="143"/>
      <c r="AB22" s="149"/>
      <c r="AC22" s="84"/>
      <c r="AD22" s="84"/>
      <c r="AE22" s="128"/>
      <c r="AF22" s="134"/>
      <c r="AG22" s="84"/>
      <c r="AH22" s="84"/>
      <c r="AI22" s="143"/>
      <c r="AJ22" s="169"/>
      <c r="AK22" s="81"/>
      <c r="AL22" s="21"/>
      <c r="AM22" s="21"/>
      <c r="AN22" s="21"/>
    </row>
    <row r="23" spans="1:40" x14ac:dyDescent="0.25">
      <c r="B23" s="41" t="s">
        <v>56</v>
      </c>
      <c r="D23" s="149"/>
      <c r="E23" s="84"/>
      <c r="F23" s="84"/>
      <c r="G23" s="128"/>
      <c r="H23" s="134"/>
      <c r="I23" s="84"/>
      <c r="J23" s="84"/>
      <c r="K23" s="143"/>
      <c r="L23" s="149"/>
      <c r="M23" s="84"/>
      <c r="N23" s="84"/>
      <c r="O23" s="128"/>
      <c r="P23" s="134"/>
      <c r="Q23" s="84"/>
      <c r="R23" s="84"/>
      <c r="S23" s="143"/>
      <c r="T23" s="149"/>
      <c r="U23" s="84"/>
      <c r="V23" s="84"/>
      <c r="W23" s="128"/>
      <c r="X23" s="134"/>
      <c r="Y23" s="84"/>
      <c r="Z23" s="84"/>
      <c r="AA23" s="143"/>
      <c r="AB23" s="149"/>
      <c r="AC23" s="84"/>
      <c r="AD23" s="84"/>
      <c r="AE23" s="128"/>
      <c r="AF23" s="134"/>
      <c r="AG23" s="84"/>
      <c r="AH23" s="84"/>
      <c r="AI23" s="143"/>
      <c r="AJ23" s="169"/>
      <c r="AK23" s="81"/>
      <c r="AL23" s="21"/>
      <c r="AM23" s="21"/>
      <c r="AN23" s="21"/>
    </row>
    <row r="24" spans="1:40" x14ac:dyDescent="0.25">
      <c r="B24" s="42" t="s">
        <v>57</v>
      </c>
      <c r="C24" s="49"/>
      <c r="D24" s="147">
        <f t="shared" ref="D24:M24" si="10">D21-D22-D23</f>
        <v>18735633.293371074</v>
      </c>
      <c r="E24" s="49">
        <f t="shared" si="10"/>
        <v>18735633.293371074</v>
      </c>
      <c r="F24" s="49">
        <f t="shared" si="10"/>
        <v>18735633.293371074</v>
      </c>
      <c r="G24" s="133">
        <f t="shared" si="10"/>
        <v>-15040972.735242656</v>
      </c>
      <c r="H24" s="132">
        <f t="shared" si="10"/>
        <v>-9651495.2687573489</v>
      </c>
      <c r="I24" s="49">
        <f t="shared" si="10"/>
        <v>-9651495.2687573489</v>
      </c>
      <c r="J24" s="49">
        <f t="shared" si="10"/>
        <v>58925250.304488719</v>
      </c>
      <c r="K24" s="148">
        <f t="shared" si="10"/>
        <v>58925250.304488719</v>
      </c>
      <c r="L24" s="147">
        <f t="shared" si="10"/>
        <v>87312378.866617158</v>
      </c>
      <c r="M24" s="49">
        <f t="shared" si="10"/>
        <v>18735633.293371074</v>
      </c>
      <c r="N24" s="49">
        <f t="shared" ref="N24:AJ24" si="11">N21-N22-N23</f>
        <v>18735633.293371074</v>
      </c>
      <c r="O24" s="133">
        <f t="shared" si="11"/>
        <v>-15040972.735242656</v>
      </c>
      <c r="P24" s="132">
        <f t="shared" si="11"/>
        <v>-9651495.2687573489</v>
      </c>
      <c r="Q24" s="49">
        <f t="shared" si="11"/>
        <v>-9651495.2687573489</v>
      </c>
      <c r="R24" s="49">
        <f t="shared" si="11"/>
        <v>58925250.304488719</v>
      </c>
      <c r="S24" s="148">
        <f t="shared" si="11"/>
        <v>58925250.304488719</v>
      </c>
      <c r="T24" s="147">
        <f t="shared" si="11"/>
        <v>87312378.866617158</v>
      </c>
      <c r="U24" s="49">
        <f t="shared" si="11"/>
        <v>18735633.293371074</v>
      </c>
      <c r="V24" s="49">
        <f t="shared" si="11"/>
        <v>18735633.293371074</v>
      </c>
      <c r="W24" s="133">
        <f t="shared" si="11"/>
        <v>-15040972.735242656</v>
      </c>
      <c r="X24" s="132">
        <f t="shared" si="11"/>
        <v>-9651495.2687573489</v>
      </c>
      <c r="Y24" s="49">
        <f t="shared" si="11"/>
        <v>-9651495.2687573489</v>
      </c>
      <c r="Z24" s="49">
        <f t="shared" si="11"/>
        <v>58925250.304488719</v>
      </c>
      <c r="AA24" s="148">
        <f t="shared" si="11"/>
        <v>58925250.304488719</v>
      </c>
      <c r="AB24" s="147">
        <f t="shared" si="11"/>
        <v>87312378.866617158</v>
      </c>
      <c r="AC24" s="49">
        <f t="shared" si="11"/>
        <v>18735633.293371074</v>
      </c>
      <c r="AD24" s="49">
        <f t="shared" si="11"/>
        <v>18735633.293371074</v>
      </c>
      <c r="AE24" s="133">
        <f t="shared" si="11"/>
        <v>-15040972.735242656</v>
      </c>
      <c r="AF24" s="132">
        <f t="shared" si="11"/>
        <v>-9651495.2687573489</v>
      </c>
      <c r="AG24" s="49">
        <f t="shared" si="11"/>
        <v>-9651495.2687573489</v>
      </c>
      <c r="AH24" s="49">
        <f t="shared" si="11"/>
        <v>58925250.304488719</v>
      </c>
      <c r="AI24" s="148">
        <f t="shared" si="11"/>
        <v>58925250.304488719</v>
      </c>
      <c r="AJ24" s="172">
        <f t="shared" si="11"/>
        <v>68576745.573246062</v>
      </c>
      <c r="AK24" s="49">
        <f>+SUM(D24:AJ24)</f>
        <v>833160731.15831757</v>
      </c>
    </row>
    <row r="25" spans="1:40" x14ac:dyDescent="0.25">
      <c r="B25" s="41" t="s">
        <v>58</v>
      </c>
      <c r="D25" s="149"/>
      <c r="E25" s="84"/>
      <c r="F25" s="84"/>
      <c r="G25" s="128"/>
      <c r="H25" s="134"/>
      <c r="I25" s="84"/>
      <c r="J25" s="84"/>
      <c r="K25" s="143"/>
      <c r="L25" s="149"/>
      <c r="M25" s="84"/>
      <c r="N25" s="84"/>
      <c r="O25" s="128"/>
      <c r="P25" s="134"/>
      <c r="Q25" s="84"/>
      <c r="R25" s="84"/>
      <c r="S25" s="143"/>
      <c r="T25" s="149"/>
      <c r="U25" s="84"/>
      <c r="V25" s="84"/>
      <c r="W25" s="128"/>
      <c r="X25" s="134"/>
      <c r="Y25" s="84"/>
      <c r="Z25" s="84"/>
      <c r="AA25" s="143"/>
      <c r="AB25" s="149"/>
      <c r="AC25" s="84"/>
      <c r="AD25" s="84"/>
      <c r="AE25" s="128"/>
      <c r="AF25" s="134"/>
      <c r="AG25" s="84"/>
      <c r="AH25" s="84"/>
      <c r="AI25" s="143"/>
      <c r="AJ25" s="169"/>
      <c r="AK25" s="21"/>
      <c r="AL25" s="21"/>
      <c r="AM25" s="21"/>
      <c r="AN25" s="21"/>
    </row>
    <row r="26" spans="1:40" ht="12" customHeight="1" x14ac:dyDescent="0.25">
      <c r="B26" s="42" t="s">
        <v>59</v>
      </c>
      <c r="C26" s="49"/>
      <c r="D26" s="147">
        <f>+D24-D25</f>
        <v>18735633.293371074</v>
      </c>
      <c r="E26" s="49">
        <f>+E24-E25</f>
        <v>18735633.293371074</v>
      </c>
      <c r="F26" s="49">
        <f t="shared" ref="F26:AJ26" si="12">+F24-F25</f>
        <v>18735633.293371074</v>
      </c>
      <c r="G26" s="133">
        <f t="shared" si="12"/>
        <v>-15040972.735242656</v>
      </c>
      <c r="H26" s="132">
        <f t="shared" si="12"/>
        <v>-9651495.2687573489</v>
      </c>
      <c r="I26" s="49">
        <f t="shared" si="12"/>
        <v>-9651495.2687573489</v>
      </c>
      <c r="J26" s="49">
        <f t="shared" si="12"/>
        <v>58925250.304488719</v>
      </c>
      <c r="K26" s="148">
        <f t="shared" si="12"/>
        <v>58925250.304488719</v>
      </c>
      <c r="L26" s="147">
        <f t="shared" si="12"/>
        <v>87312378.866617158</v>
      </c>
      <c r="M26" s="49">
        <f t="shared" si="12"/>
        <v>18735633.293371074</v>
      </c>
      <c r="N26" s="49">
        <f t="shared" si="12"/>
        <v>18735633.293371074</v>
      </c>
      <c r="O26" s="133">
        <f t="shared" si="12"/>
        <v>-15040972.735242656</v>
      </c>
      <c r="P26" s="132">
        <f t="shared" si="12"/>
        <v>-9651495.2687573489</v>
      </c>
      <c r="Q26" s="49">
        <f t="shared" si="12"/>
        <v>-9651495.2687573489</v>
      </c>
      <c r="R26" s="49">
        <f t="shared" si="12"/>
        <v>58925250.304488719</v>
      </c>
      <c r="S26" s="148">
        <f t="shared" si="12"/>
        <v>58925250.304488719</v>
      </c>
      <c r="T26" s="147">
        <f t="shared" si="12"/>
        <v>87312378.866617158</v>
      </c>
      <c r="U26" s="49">
        <f t="shared" si="12"/>
        <v>18735633.293371074</v>
      </c>
      <c r="V26" s="49">
        <f t="shared" si="12"/>
        <v>18735633.293371074</v>
      </c>
      <c r="W26" s="133">
        <f t="shared" si="12"/>
        <v>-15040972.735242656</v>
      </c>
      <c r="X26" s="132">
        <f t="shared" si="12"/>
        <v>-9651495.2687573489</v>
      </c>
      <c r="Y26" s="49">
        <f t="shared" si="12"/>
        <v>-9651495.2687573489</v>
      </c>
      <c r="Z26" s="49">
        <f t="shared" si="12"/>
        <v>58925250.304488719</v>
      </c>
      <c r="AA26" s="148">
        <f t="shared" si="12"/>
        <v>58925250.304488719</v>
      </c>
      <c r="AB26" s="147">
        <f t="shared" si="12"/>
        <v>87312378.866617158</v>
      </c>
      <c r="AC26" s="49">
        <f t="shared" si="12"/>
        <v>18735633.293371074</v>
      </c>
      <c r="AD26" s="49">
        <f t="shared" si="12"/>
        <v>18735633.293371074</v>
      </c>
      <c r="AE26" s="133">
        <f t="shared" si="12"/>
        <v>-15040972.735242656</v>
      </c>
      <c r="AF26" s="132">
        <f t="shared" si="12"/>
        <v>-9651495.2687573489</v>
      </c>
      <c r="AG26" s="49">
        <f t="shared" si="12"/>
        <v>-9651495.2687573489</v>
      </c>
      <c r="AH26" s="49">
        <f t="shared" si="12"/>
        <v>58925250.304488719</v>
      </c>
      <c r="AI26" s="148">
        <f t="shared" si="12"/>
        <v>58925250.304488719</v>
      </c>
      <c r="AJ26" s="172">
        <f t="shared" si="12"/>
        <v>68576745.573246062</v>
      </c>
      <c r="AK26" s="49">
        <f>+SUM(D26:AJ26)</f>
        <v>833160731.15831757</v>
      </c>
    </row>
    <row r="27" spans="1:40" x14ac:dyDescent="0.25">
      <c r="B27" s="43" t="s">
        <v>60</v>
      </c>
      <c r="D27" s="149"/>
      <c r="E27" s="84"/>
      <c r="F27" s="84"/>
      <c r="G27" s="128"/>
      <c r="H27" s="134"/>
      <c r="I27" s="84"/>
      <c r="J27" s="84"/>
      <c r="K27" s="143"/>
      <c r="L27" s="149"/>
      <c r="M27" s="84"/>
      <c r="N27" s="84"/>
      <c r="O27" s="128"/>
      <c r="P27" s="134"/>
      <c r="Q27" s="84"/>
      <c r="R27" s="84"/>
      <c r="S27" s="143"/>
      <c r="T27" s="149"/>
      <c r="U27" s="84"/>
      <c r="V27" s="84"/>
      <c r="W27" s="128"/>
      <c r="X27" s="134"/>
      <c r="Y27" s="84"/>
      <c r="Z27" s="84"/>
      <c r="AA27" s="143"/>
      <c r="AB27" s="149"/>
      <c r="AC27" s="84"/>
      <c r="AD27" s="84"/>
      <c r="AE27" s="128"/>
      <c r="AF27" s="134"/>
      <c r="AG27" s="84"/>
      <c r="AH27" s="84"/>
      <c r="AI27" s="143"/>
      <c r="AJ27" s="169"/>
      <c r="AK27" s="21"/>
      <c r="AL27" s="21"/>
      <c r="AM27" s="21"/>
      <c r="AN27" s="21"/>
    </row>
    <row r="28" spans="1:40" x14ac:dyDescent="0.25">
      <c r="B28" s="43" t="s">
        <v>97</v>
      </c>
      <c r="C28" s="122">
        <f>+'1) Corrida Financiera'!C68</f>
        <v>-1500000</v>
      </c>
      <c r="D28" s="149"/>
      <c r="E28" s="84"/>
      <c r="F28" s="84"/>
      <c r="G28" s="128"/>
      <c r="H28" s="134"/>
      <c r="I28" s="84"/>
      <c r="J28" s="84"/>
      <c r="K28" s="143"/>
      <c r="L28" s="149"/>
      <c r="M28" s="84"/>
      <c r="N28" s="84"/>
      <c r="O28" s="128"/>
      <c r="P28" s="134"/>
      <c r="Q28" s="84"/>
      <c r="R28" s="84"/>
      <c r="S28" s="143"/>
      <c r="T28" s="149"/>
      <c r="U28" s="84"/>
      <c r="V28" s="84"/>
      <c r="W28" s="128"/>
      <c r="X28" s="134"/>
      <c r="Y28" s="84"/>
      <c r="Z28" s="84"/>
      <c r="AA28" s="143"/>
      <c r="AB28" s="149"/>
      <c r="AC28" s="84"/>
      <c r="AD28" s="84"/>
      <c r="AE28" s="128"/>
      <c r="AF28" s="134"/>
      <c r="AG28" s="84"/>
      <c r="AH28" s="84"/>
      <c r="AI28" s="143"/>
      <c r="AJ28" s="169"/>
      <c r="AK28" s="81"/>
      <c r="AL28" s="21"/>
      <c r="AM28" s="21"/>
      <c r="AN28" s="21"/>
    </row>
    <row r="29" spans="1:40" x14ac:dyDescent="0.25">
      <c r="B29" s="43" t="s">
        <v>56</v>
      </c>
      <c r="D29" s="149"/>
      <c r="E29" s="84"/>
      <c r="F29" s="84"/>
      <c r="G29" s="128"/>
      <c r="H29" s="134"/>
      <c r="I29" s="84"/>
      <c r="J29" s="84"/>
      <c r="K29" s="143"/>
      <c r="L29" s="149"/>
      <c r="M29" s="84"/>
      <c r="N29" s="84"/>
      <c r="O29" s="128"/>
      <c r="P29" s="134"/>
      <c r="Q29" s="84"/>
      <c r="R29" s="84"/>
      <c r="S29" s="143"/>
      <c r="T29" s="149"/>
      <c r="U29" s="84"/>
      <c r="V29" s="84"/>
      <c r="W29" s="128"/>
      <c r="X29" s="134"/>
      <c r="Y29" s="84"/>
      <c r="Z29" s="84"/>
      <c r="AA29" s="143"/>
      <c r="AB29" s="149"/>
      <c r="AC29" s="84"/>
      <c r="AD29" s="84"/>
      <c r="AE29" s="128"/>
      <c r="AF29" s="134"/>
      <c r="AG29" s="84"/>
      <c r="AH29" s="84"/>
      <c r="AI29" s="143"/>
      <c r="AJ29" s="169"/>
      <c r="AK29" s="81"/>
      <c r="AL29" s="21"/>
      <c r="AM29" s="21"/>
      <c r="AN29" s="21"/>
    </row>
    <row r="30" spans="1:40" x14ac:dyDescent="0.25">
      <c r="B30" s="100" t="s">
        <v>111</v>
      </c>
      <c r="C30" s="122">
        <f>+'1) Corrida Financiera'!C70</f>
        <v>-50034375</v>
      </c>
      <c r="D30" s="149"/>
      <c r="E30" s="84"/>
      <c r="F30" s="84"/>
      <c r="G30" s="128"/>
      <c r="H30" s="134"/>
      <c r="I30" s="84"/>
      <c r="J30" s="84"/>
      <c r="K30" s="143">
        <f>+'1) Corrida Financiera'!E70</f>
        <v>-55037812.500000007</v>
      </c>
      <c r="L30" s="149"/>
      <c r="M30" s="84"/>
      <c r="N30" s="84"/>
      <c r="O30" s="128"/>
      <c r="P30" s="134"/>
      <c r="Q30" s="84"/>
      <c r="R30" s="84"/>
      <c r="S30" s="143">
        <f>+'1) Corrida Financiera'!G70</f>
        <v>-60541593.750000015</v>
      </c>
      <c r="T30" s="149"/>
      <c r="U30" s="84"/>
      <c r="V30" s="84"/>
      <c r="W30" s="128"/>
      <c r="X30" s="134"/>
      <c r="Y30" s="84"/>
      <c r="Z30" s="84"/>
      <c r="AA30" s="143">
        <f>+'1) Corrida Financiera'!I70</f>
        <v>-66595753.125000022</v>
      </c>
      <c r="AB30" s="149"/>
      <c r="AC30" s="84"/>
      <c r="AD30" s="84"/>
      <c r="AE30" s="128"/>
      <c r="AF30" s="134"/>
      <c r="AG30" s="84"/>
      <c r="AH30" s="84"/>
      <c r="AI30" s="143"/>
      <c r="AJ30" s="169"/>
      <c r="AK30" s="21"/>
      <c r="AL30" s="21"/>
      <c r="AM30" s="21"/>
      <c r="AN30" s="21"/>
    </row>
    <row r="31" spans="1:40" x14ac:dyDescent="0.25">
      <c r="B31" s="44" t="s">
        <v>61</v>
      </c>
      <c r="D31" s="149"/>
      <c r="E31" s="84"/>
      <c r="F31" s="84"/>
      <c r="G31" s="128"/>
      <c r="H31" s="134"/>
      <c r="I31" s="84"/>
      <c r="J31" s="84"/>
      <c r="K31" s="143"/>
      <c r="L31" s="149"/>
      <c r="M31" s="84"/>
      <c r="N31" s="84"/>
      <c r="O31" s="128"/>
      <c r="P31" s="134"/>
      <c r="Q31" s="84"/>
      <c r="R31" s="84"/>
      <c r="S31" s="143"/>
      <c r="T31" s="149"/>
      <c r="U31" s="84"/>
      <c r="V31" s="84"/>
      <c r="W31" s="128"/>
      <c r="X31" s="134"/>
      <c r="Y31" s="84"/>
      <c r="Z31" s="84"/>
      <c r="AA31" s="143"/>
      <c r="AB31" s="149"/>
      <c r="AC31" s="84"/>
      <c r="AD31" s="84"/>
      <c r="AE31" s="128"/>
      <c r="AF31" s="134"/>
      <c r="AG31" s="84"/>
      <c r="AH31" s="84"/>
      <c r="AI31" s="143"/>
      <c r="AJ31" s="169"/>
      <c r="AK31" s="21"/>
      <c r="AL31" s="21"/>
      <c r="AM31" s="21"/>
      <c r="AN31" s="21"/>
    </row>
    <row r="32" spans="1:40" x14ac:dyDescent="0.25">
      <c r="B32" s="44"/>
      <c r="D32" s="149"/>
      <c r="E32" s="84"/>
      <c r="F32" s="84"/>
      <c r="G32" s="128"/>
      <c r="H32" s="134"/>
      <c r="I32" s="84"/>
      <c r="J32" s="84"/>
      <c r="K32" s="143"/>
      <c r="L32" s="149"/>
      <c r="M32" s="84"/>
      <c r="N32" s="84"/>
      <c r="O32" s="128"/>
      <c r="P32" s="134"/>
      <c r="Q32" s="84"/>
      <c r="R32" s="84"/>
      <c r="S32" s="143"/>
      <c r="T32" s="149"/>
      <c r="U32" s="84"/>
      <c r="V32" s="84"/>
      <c r="W32" s="128"/>
      <c r="X32" s="134"/>
      <c r="Y32" s="84"/>
      <c r="Z32" s="84"/>
      <c r="AA32" s="143"/>
      <c r="AB32" s="149"/>
      <c r="AC32" s="84"/>
      <c r="AD32" s="84"/>
      <c r="AE32" s="128"/>
      <c r="AF32" s="134"/>
      <c r="AG32" s="84"/>
      <c r="AH32" s="84"/>
      <c r="AI32" s="143"/>
      <c r="AJ32" s="169"/>
      <c r="AK32" s="21"/>
      <c r="AL32" s="21"/>
      <c r="AM32" s="21"/>
      <c r="AN32" s="21"/>
    </row>
    <row r="33" spans="2:40" x14ac:dyDescent="0.25">
      <c r="B33" s="45" t="s">
        <v>62</v>
      </c>
      <c r="C33" s="50">
        <f t="shared" ref="C33:AJ33" si="13">SUM(C26:C31)</f>
        <v>-51534375</v>
      </c>
      <c r="D33" s="150">
        <f>SUM(D26:D31)</f>
        <v>18735633.293371074</v>
      </c>
      <c r="E33" s="50">
        <f t="shared" si="13"/>
        <v>18735633.293371074</v>
      </c>
      <c r="F33" s="50">
        <f t="shared" si="13"/>
        <v>18735633.293371074</v>
      </c>
      <c r="G33" s="136">
        <f t="shared" si="13"/>
        <v>-15040972.735242656</v>
      </c>
      <c r="H33" s="135">
        <f t="shared" si="13"/>
        <v>-9651495.2687573489</v>
      </c>
      <c r="I33" s="50">
        <f t="shared" si="13"/>
        <v>-9651495.2687573489</v>
      </c>
      <c r="J33" s="50">
        <f t="shared" si="13"/>
        <v>58925250.304488719</v>
      </c>
      <c r="K33" s="151">
        <f t="shared" si="13"/>
        <v>3887437.8044887111</v>
      </c>
      <c r="L33" s="150">
        <f t="shared" si="13"/>
        <v>87312378.866617158</v>
      </c>
      <c r="M33" s="50">
        <f t="shared" si="13"/>
        <v>18735633.293371074</v>
      </c>
      <c r="N33" s="50">
        <f t="shared" si="13"/>
        <v>18735633.293371074</v>
      </c>
      <c r="O33" s="136">
        <f t="shared" si="13"/>
        <v>-15040972.735242656</v>
      </c>
      <c r="P33" s="135">
        <f t="shared" si="13"/>
        <v>-9651495.2687573489</v>
      </c>
      <c r="Q33" s="50">
        <f t="shared" si="13"/>
        <v>-9651495.2687573489</v>
      </c>
      <c r="R33" s="50">
        <f t="shared" si="13"/>
        <v>58925250.304488719</v>
      </c>
      <c r="S33" s="151">
        <f t="shared" si="13"/>
        <v>-1616343.4455112964</v>
      </c>
      <c r="T33" s="150">
        <f t="shared" si="13"/>
        <v>87312378.866617158</v>
      </c>
      <c r="U33" s="50">
        <f t="shared" si="13"/>
        <v>18735633.293371074</v>
      </c>
      <c r="V33" s="50">
        <f t="shared" si="13"/>
        <v>18735633.293371074</v>
      </c>
      <c r="W33" s="136">
        <f t="shared" si="13"/>
        <v>-15040972.735242656</v>
      </c>
      <c r="X33" s="135">
        <f t="shared" si="13"/>
        <v>-9651495.2687573489</v>
      </c>
      <c r="Y33" s="50">
        <f t="shared" si="13"/>
        <v>-9651495.2687573489</v>
      </c>
      <c r="Z33" s="50">
        <f t="shared" si="13"/>
        <v>58925250.304488719</v>
      </c>
      <c r="AA33" s="151">
        <f t="shared" si="13"/>
        <v>-7670502.8205113038</v>
      </c>
      <c r="AB33" s="150">
        <f t="shared" si="13"/>
        <v>87312378.866617158</v>
      </c>
      <c r="AC33" s="50">
        <f t="shared" si="13"/>
        <v>18735633.293371074</v>
      </c>
      <c r="AD33" s="50">
        <f t="shared" si="13"/>
        <v>18735633.293371074</v>
      </c>
      <c r="AE33" s="136">
        <f t="shared" si="13"/>
        <v>-15040972.735242656</v>
      </c>
      <c r="AF33" s="135">
        <f t="shared" si="13"/>
        <v>-9651495.2687573489</v>
      </c>
      <c r="AG33" s="50">
        <f t="shared" si="13"/>
        <v>-9651495.2687573489</v>
      </c>
      <c r="AH33" s="50">
        <f t="shared" si="13"/>
        <v>58925250.304488719</v>
      </c>
      <c r="AI33" s="151">
        <f t="shared" si="13"/>
        <v>58925250.304488719</v>
      </c>
      <c r="AJ33" s="173">
        <f t="shared" si="13"/>
        <v>68576745.573246062</v>
      </c>
      <c r="AK33" s="50">
        <f>SUM(AK26:AK31)</f>
        <v>833160731.15831757</v>
      </c>
    </row>
    <row r="34" spans="2:40" x14ac:dyDescent="0.25">
      <c r="D34" s="149"/>
      <c r="E34" s="84"/>
      <c r="F34" s="84"/>
      <c r="G34" s="128"/>
      <c r="H34" s="134"/>
      <c r="I34" s="84"/>
      <c r="J34" s="84"/>
      <c r="K34" s="143"/>
      <c r="L34" s="149"/>
      <c r="M34" s="84"/>
      <c r="N34" s="84"/>
      <c r="O34" s="128"/>
      <c r="P34" s="134"/>
      <c r="Q34" s="84"/>
      <c r="R34" s="84"/>
      <c r="S34" s="143"/>
      <c r="T34" s="149"/>
      <c r="U34" s="84"/>
      <c r="V34" s="84"/>
      <c r="W34" s="128"/>
      <c r="X34" s="134"/>
      <c r="Y34" s="84"/>
      <c r="Z34" s="84"/>
      <c r="AA34" s="143"/>
      <c r="AB34" s="149"/>
      <c r="AC34" s="84"/>
      <c r="AD34" s="84"/>
      <c r="AE34" s="128"/>
      <c r="AF34" s="134"/>
      <c r="AG34" s="84"/>
      <c r="AH34" s="84"/>
      <c r="AI34" s="143"/>
      <c r="AJ34" s="169"/>
      <c r="AK34" s="21"/>
      <c r="AL34" s="21"/>
      <c r="AM34" s="21"/>
      <c r="AN34" s="21"/>
    </row>
    <row r="35" spans="2:40" x14ac:dyDescent="0.25">
      <c r="B35" s="101" t="s">
        <v>99</v>
      </c>
      <c r="C35" s="102">
        <f>+C33</f>
        <v>-51534375</v>
      </c>
      <c r="D35" s="152">
        <f>+C35+D33</f>
        <v>-32798741.706628926</v>
      </c>
      <c r="E35" s="138">
        <f t="shared" ref="E35:L35" si="14">+D35+E33</f>
        <v>-14063108.413257852</v>
      </c>
      <c r="F35" s="138">
        <f t="shared" si="14"/>
        <v>4672524.8801132217</v>
      </c>
      <c r="G35" s="139">
        <f t="shared" si="14"/>
        <v>-10368447.855129434</v>
      </c>
      <c r="H35" s="137">
        <f t="shared" si="14"/>
        <v>-20019943.123886783</v>
      </c>
      <c r="I35" s="138">
        <f t="shared" si="14"/>
        <v>-29671438.39264413</v>
      </c>
      <c r="J35" s="138">
        <f t="shared" si="14"/>
        <v>29253811.911844589</v>
      </c>
      <c r="K35" s="153">
        <f t="shared" si="14"/>
        <v>33141249.7163333</v>
      </c>
      <c r="L35" s="152">
        <f t="shared" si="14"/>
        <v>120453628.58295046</v>
      </c>
      <c r="M35" s="138">
        <f t="shared" ref="M35:AJ35" si="15">+L35+M33</f>
        <v>139189261.87632152</v>
      </c>
      <c r="N35" s="138">
        <f t="shared" si="15"/>
        <v>157924895.16969261</v>
      </c>
      <c r="O35" s="139">
        <f t="shared" si="15"/>
        <v>142883922.43444994</v>
      </c>
      <c r="P35" s="137">
        <f t="shared" si="15"/>
        <v>133232427.1656926</v>
      </c>
      <c r="Q35" s="138">
        <f t="shared" si="15"/>
        <v>123580931.89693525</v>
      </c>
      <c r="R35" s="138">
        <f t="shared" si="15"/>
        <v>182506182.20142397</v>
      </c>
      <c r="S35" s="153">
        <f t="shared" si="15"/>
        <v>180889838.75591266</v>
      </c>
      <c r="T35" s="152">
        <f t="shared" si="15"/>
        <v>268202217.6225298</v>
      </c>
      <c r="U35" s="138">
        <f t="shared" si="15"/>
        <v>286937850.91590089</v>
      </c>
      <c r="V35" s="138">
        <f t="shared" si="15"/>
        <v>305673484.20927197</v>
      </c>
      <c r="W35" s="139">
        <f t="shared" si="15"/>
        <v>290632511.4740293</v>
      </c>
      <c r="X35" s="137">
        <f t="shared" si="15"/>
        <v>280981016.20527196</v>
      </c>
      <c r="Y35" s="138">
        <f t="shared" si="15"/>
        <v>271329520.93651462</v>
      </c>
      <c r="Z35" s="138">
        <f t="shared" si="15"/>
        <v>330254771.24100333</v>
      </c>
      <c r="AA35" s="153">
        <f t="shared" si="15"/>
        <v>322584268.42049205</v>
      </c>
      <c r="AB35" s="152">
        <f t="shared" si="15"/>
        <v>409896647.2871092</v>
      </c>
      <c r="AC35" s="138">
        <f t="shared" si="15"/>
        <v>428632280.58048028</v>
      </c>
      <c r="AD35" s="138">
        <f t="shared" si="15"/>
        <v>447367913.87385136</v>
      </c>
      <c r="AE35" s="139">
        <f t="shared" si="15"/>
        <v>432326941.13860869</v>
      </c>
      <c r="AF35" s="137">
        <f t="shared" si="15"/>
        <v>422675445.86985135</v>
      </c>
      <c r="AG35" s="138">
        <f t="shared" si="15"/>
        <v>413023950.60109401</v>
      </c>
      <c r="AH35" s="138">
        <f t="shared" si="15"/>
        <v>471949200.90558273</v>
      </c>
      <c r="AI35" s="153">
        <f t="shared" si="15"/>
        <v>530874451.21007144</v>
      </c>
      <c r="AJ35" s="174">
        <f t="shared" si="15"/>
        <v>599451196.78331757</v>
      </c>
      <c r="AK35" s="102"/>
    </row>
    <row r="36" spans="2:40" x14ac:dyDescent="0.25">
      <c r="B36" s="103" t="s">
        <v>115</v>
      </c>
      <c r="C36" s="25">
        <f>+SUM(C33:AJ33)</f>
        <v>599451196.78331757</v>
      </c>
      <c r="D36" s="149"/>
      <c r="E36" s="84"/>
      <c r="F36" s="84"/>
      <c r="G36" s="128"/>
      <c r="H36" s="134"/>
      <c r="I36" s="84"/>
      <c r="J36" s="84"/>
      <c r="K36" s="143"/>
      <c r="L36" s="149"/>
      <c r="M36" s="84"/>
      <c r="N36" s="84"/>
      <c r="O36" s="128"/>
      <c r="P36" s="134"/>
      <c r="Q36" s="84"/>
      <c r="R36" s="84"/>
      <c r="S36" s="143"/>
      <c r="T36" s="149"/>
      <c r="U36" s="84"/>
      <c r="V36" s="84"/>
      <c r="W36" s="128"/>
      <c r="X36" s="134"/>
      <c r="Y36" s="84"/>
      <c r="Z36" s="84"/>
      <c r="AA36" s="143"/>
      <c r="AB36" s="149"/>
      <c r="AC36" s="84"/>
      <c r="AD36" s="84"/>
      <c r="AE36" s="128"/>
      <c r="AF36" s="134"/>
      <c r="AG36" s="84"/>
      <c r="AH36" s="84"/>
      <c r="AI36" s="143"/>
      <c r="AJ36" s="169"/>
      <c r="AK36" s="21"/>
      <c r="AL36" s="21"/>
      <c r="AM36" s="21"/>
      <c r="AN36" s="21"/>
    </row>
    <row r="37" spans="2:40" x14ac:dyDescent="0.25">
      <c r="D37" s="149"/>
      <c r="E37" s="84"/>
      <c r="F37" s="84"/>
      <c r="G37" s="128"/>
      <c r="H37" s="134"/>
      <c r="I37" s="84"/>
      <c r="J37" s="84"/>
      <c r="K37" s="143"/>
      <c r="L37" s="149"/>
      <c r="M37" s="84"/>
      <c r="N37" s="84"/>
      <c r="O37" s="128"/>
      <c r="P37" s="134"/>
      <c r="Q37" s="84"/>
      <c r="R37" s="84"/>
      <c r="S37" s="143"/>
      <c r="T37" s="149"/>
      <c r="U37" s="84"/>
      <c r="V37" s="84"/>
      <c r="W37" s="128"/>
      <c r="X37" s="134"/>
      <c r="Y37" s="84"/>
      <c r="Z37" s="84"/>
      <c r="AA37" s="143"/>
      <c r="AB37" s="149"/>
      <c r="AC37" s="84"/>
      <c r="AD37" s="84"/>
      <c r="AE37" s="128"/>
      <c r="AF37" s="134"/>
      <c r="AG37" s="84"/>
      <c r="AH37" s="84"/>
      <c r="AI37" s="143"/>
      <c r="AJ37" s="169"/>
      <c r="AK37" s="21"/>
      <c r="AL37" s="21"/>
      <c r="AM37" s="21"/>
      <c r="AN37" s="21"/>
    </row>
    <row r="38" spans="2:40" ht="15.75" thickBot="1" x14ac:dyDescent="0.3">
      <c r="B38" s="52" t="s">
        <v>65</v>
      </c>
      <c r="C38" s="51">
        <f>C33/((1+$C$41)^C4)</f>
        <v>-51534375</v>
      </c>
      <c r="D38" s="154">
        <f>D33/((1+$C$41)^D4)</f>
        <v>18058441.72855043</v>
      </c>
      <c r="E38" s="155">
        <f>E33/((1+$C$41)^E4)</f>
        <v>17405726.967277523</v>
      </c>
      <c r="F38" s="155">
        <f t="shared" ref="F38:AJ38" si="16">F33/((1+$C$41)^F4)</f>
        <v>16776604.305809658</v>
      </c>
      <c r="G38" s="156">
        <f t="shared" si="16"/>
        <v>-12981458.89391112</v>
      </c>
      <c r="H38" s="157">
        <f t="shared" si="16"/>
        <v>-8028863.5134715112</v>
      </c>
      <c r="I38" s="155">
        <f t="shared" si="16"/>
        <v>-7738663.6274424205</v>
      </c>
      <c r="J38" s="155">
        <f t="shared" si="16"/>
        <v>45539126.740953125</v>
      </c>
      <c r="K38" s="158">
        <f t="shared" si="16"/>
        <v>2895733.6353521002</v>
      </c>
      <c r="L38" s="154">
        <f t="shared" si="16"/>
        <v>62687777.445157781</v>
      </c>
      <c r="M38" s="155">
        <f t="shared" si="16"/>
        <v>12965441.908473106</v>
      </c>
      <c r="N38" s="155">
        <f t="shared" si="16"/>
        <v>12496811.478046367</v>
      </c>
      <c r="O38" s="156">
        <f t="shared" si="16"/>
        <v>-9669825.9999514446</v>
      </c>
      <c r="P38" s="157">
        <f t="shared" si="16"/>
        <v>-5980661.6334196357</v>
      </c>
      <c r="Q38" s="155">
        <f t="shared" si="16"/>
        <v>-5764493.1406454314</v>
      </c>
      <c r="R38" s="155">
        <f t="shared" si="16"/>
        <v>33921875.451248303</v>
      </c>
      <c r="S38" s="158">
        <f t="shared" si="16"/>
        <v>-896858.56559030176</v>
      </c>
      <c r="T38" s="154">
        <f t="shared" si="16"/>
        <v>46695822.493624486</v>
      </c>
      <c r="U38" s="155">
        <f t="shared" si="16"/>
        <v>9657895.0248973258</v>
      </c>
      <c r="V38" s="155">
        <f t="shared" si="16"/>
        <v>9308814.4818287473</v>
      </c>
      <c r="W38" s="156">
        <f t="shared" si="16"/>
        <v>-7203006.6599983778</v>
      </c>
      <c r="X38" s="157">
        <f t="shared" si="16"/>
        <v>-4454965.9504664009</v>
      </c>
      <c r="Y38" s="155">
        <f t="shared" si="16"/>
        <v>-4293943.0847868929</v>
      </c>
      <c r="Z38" s="155">
        <f t="shared" si="16"/>
        <v>25268241.10342874</v>
      </c>
      <c r="AA38" s="158">
        <f t="shared" si="16"/>
        <v>-3170365.2911969433</v>
      </c>
      <c r="AB38" s="154">
        <f t="shared" si="16"/>
        <v>34783492.527928434</v>
      </c>
      <c r="AC38" s="155">
        <f t="shared" si="16"/>
        <v>7194119.334334447</v>
      </c>
      <c r="AD38" s="155">
        <f t="shared" si="16"/>
        <v>6934090.9246597085</v>
      </c>
      <c r="AE38" s="156">
        <f t="shared" si="16"/>
        <v>-5365484.854044063</v>
      </c>
      <c r="AF38" s="157">
        <f t="shared" si="16"/>
        <v>-3318482.6088325288</v>
      </c>
      <c r="AG38" s="155">
        <f t="shared" si="16"/>
        <v>-3198537.4542964129</v>
      </c>
      <c r="AH38" s="155">
        <f t="shared" si="16"/>
        <v>18822190.694574632</v>
      </c>
      <c r="AI38" s="158">
        <f t="shared" si="16"/>
        <v>18141870.548987597</v>
      </c>
      <c r="AJ38" s="175">
        <f t="shared" si="16"/>
        <v>20350233.344860595</v>
      </c>
    </row>
    <row r="39" spans="2:40" ht="15.75" thickBot="1" x14ac:dyDescent="0.3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2:40" x14ac:dyDescent="0.25">
      <c r="B40" s="227" t="s">
        <v>67</v>
      </c>
      <c r="C40" s="22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2:40" x14ac:dyDescent="0.25">
      <c r="B41" s="53" t="s">
        <v>73</v>
      </c>
      <c r="C41" s="57">
        <f>+F43</f>
        <v>3.7499999999999999E-2</v>
      </c>
      <c r="D41" s="21"/>
      <c r="E41" s="21"/>
      <c r="F41" s="123">
        <v>0.15</v>
      </c>
      <c r="G41" s="21">
        <v>12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2:40" x14ac:dyDescent="0.25">
      <c r="B42" s="53" t="s">
        <v>63</v>
      </c>
      <c r="C42" s="73">
        <f>SUM(C38:AJ38)</f>
        <v>286304323.86193967</v>
      </c>
      <c r="D42" s="21"/>
      <c r="E42" s="21"/>
      <c r="F42" s="123">
        <f>+F41*G42/G41</f>
        <v>1.2499999999999999E-2</v>
      </c>
      <c r="G42" s="21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2:40" x14ac:dyDescent="0.25">
      <c r="B43" s="53" t="s">
        <v>64</v>
      </c>
      <c r="C43" s="74">
        <f>POWER(1+IRR(C33:AJ33),4)-1</f>
        <v>1.6047086397452426</v>
      </c>
      <c r="D43" s="21"/>
      <c r="E43" s="21"/>
      <c r="F43" s="123">
        <f>+F42*3</f>
        <v>3.7499999999999999E-2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2:40" x14ac:dyDescent="0.25">
      <c r="B44" s="53"/>
      <c r="C44" s="5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2:40" ht="15.75" thickBot="1" x14ac:dyDescent="0.3">
      <c r="B45" s="55"/>
      <c r="C45" s="5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2:40" x14ac:dyDescent="0.2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2:40" x14ac:dyDescent="0.2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2:40" x14ac:dyDescent="0.2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4:40" x14ac:dyDescent="0.2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4:40" x14ac:dyDescent="0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4:40" x14ac:dyDescent="0.2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4:40" x14ac:dyDescent="0.2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4:40" x14ac:dyDescent="0.2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4:40" x14ac:dyDescent="0.2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4:40" x14ac:dyDescent="0.2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4:40" x14ac:dyDescent="0.2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4:40" x14ac:dyDescent="0.2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4:40" x14ac:dyDescent="0.2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4:40" x14ac:dyDescent="0.2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4:40" x14ac:dyDescent="0.2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4:40" x14ac:dyDescent="0.2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4:40" x14ac:dyDescent="0.2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4:40" x14ac:dyDescent="0.2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4:40" x14ac:dyDescent="0.2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4:40" x14ac:dyDescent="0.2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4:40" x14ac:dyDescent="0.2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4:40" x14ac:dyDescent="0.2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4:40" x14ac:dyDescent="0.2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4:40" x14ac:dyDescent="0.25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4:40" x14ac:dyDescent="0.25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4:40" x14ac:dyDescent="0.25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4:40" x14ac:dyDescent="0.25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4:40" x14ac:dyDescent="0.25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4:40" x14ac:dyDescent="0.25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4:40" x14ac:dyDescent="0.2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</sheetData>
  <mergeCells count="13">
    <mergeCell ref="B40:C40"/>
    <mergeCell ref="AB3:AE3"/>
    <mergeCell ref="AF3:AI3"/>
    <mergeCell ref="D2:K2"/>
    <mergeCell ref="L2:S2"/>
    <mergeCell ref="T2:AA2"/>
    <mergeCell ref="AB2:AI2"/>
    <mergeCell ref="D3:G3"/>
    <mergeCell ref="H3:K3"/>
    <mergeCell ref="L3:O3"/>
    <mergeCell ref="P3:S3"/>
    <mergeCell ref="T3:W3"/>
    <mergeCell ref="X3:A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9"/>
  <sheetViews>
    <sheetView tabSelected="1" zoomScaleNormal="100" workbookViewId="0">
      <pane xSplit="3" ySplit="4" topLeftCell="D36" activePane="bottomRight" state="frozen"/>
      <selection pane="topRight" activeCell="D1" sqref="D1"/>
      <selection pane="bottomLeft" activeCell="A5" sqref="A5"/>
      <selection pane="bottomRight" activeCell="F45" sqref="F45"/>
    </sheetView>
  </sheetViews>
  <sheetFormatPr baseColWidth="10" defaultRowHeight="15" x14ac:dyDescent="0.25"/>
  <cols>
    <col min="1" max="1" width="6.140625" customWidth="1"/>
    <col min="2" max="2" width="23.7109375" customWidth="1"/>
    <col min="3" max="3" width="24.140625" customWidth="1"/>
    <col min="4" max="5" width="15.5703125" bestFit="1" customWidth="1"/>
    <col min="6" max="6" width="15.5703125" style="218" bestFit="1" customWidth="1"/>
    <col min="7" max="12" width="15.5703125" bestFit="1" customWidth="1"/>
    <col min="13" max="13" width="14.28515625" bestFit="1" customWidth="1"/>
    <col min="14" max="16" width="13.42578125" bestFit="1" customWidth="1"/>
    <col min="17" max="21" width="14.28515625" bestFit="1" customWidth="1"/>
    <col min="22" max="27" width="15.5703125" bestFit="1" customWidth="1"/>
    <col min="28" max="28" width="11.7109375" bestFit="1" customWidth="1"/>
    <col min="29" max="38" width="12.28515625" bestFit="1" customWidth="1"/>
    <col min="39" max="40" width="12.85546875" bestFit="1" customWidth="1"/>
    <col min="41" max="54" width="13.85546875" bestFit="1" customWidth="1"/>
    <col min="55" max="74" width="12.28515625" bestFit="1" customWidth="1"/>
    <col min="75" max="75" width="13.42578125" bestFit="1" customWidth="1"/>
    <col min="76" max="77" width="11.7109375" bestFit="1" customWidth="1"/>
    <col min="78" max="98" width="12.28515625" bestFit="1" customWidth="1"/>
    <col min="99" max="99" width="13.42578125" bestFit="1" customWidth="1"/>
    <col min="100" max="100" width="16.28515625" bestFit="1" customWidth="1"/>
  </cols>
  <sheetData>
    <row r="1" spans="2:111" x14ac:dyDescent="0.25">
      <c r="F1" s="218" t="s">
        <v>149</v>
      </c>
    </row>
    <row r="2" spans="2:111" x14ac:dyDescent="0.25">
      <c r="C2" s="199"/>
      <c r="D2" s="244" t="s">
        <v>50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4" t="s">
        <v>50</v>
      </c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44" t="s">
        <v>53</v>
      </c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44" t="s">
        <v>101</v>
      </c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</row>
    <row r="3" spans="2:111" s="203" customFormat="1" ht="21" x14ac:dyDescent="0.35">
      <c r="C3" s="204" t="s">
        <v>147</v>
      </c>
      <c r="D3" s="241" t="s">
        <v>143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3"/>
      <c r="AB3" s="241" t="s">
        <v>144</v>
      </c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3"/>
      <c r="AZ3" s="241" t="s">
        <v>145</v>
      </c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1" t="s">
        <v>146</v>
      </c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</row>
    <row r="4" spans="2:111" x14ac:dyDescent="0.25">
      <c r="C4" s="199"/>
      <c r="D4" s="159"/>
      <c r="E4" s="160"/>
      <c r="F4" s="207"/>
      <c r="G4" s="160"/>
      <c r="H4" s="160"/>
      <c r="I4" s="160"/>
      <c r="J4" s="160"/>
      <c r="K4" s="160"/>
      <c r="L4" s="160"/>
      <c r="M4" s="160"/>
      <c r="N4" s="160"/>
      <c r="O4" s="160"/>
      <c r="P4" s="159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59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59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59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59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59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59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</row>
    <row r="5" spans="2:111" s="101" customFormat="1" ht="11.25" x14ac:dyDescent="0.2">
      <c r="B5" s="40" t="s">
        <v>131</v>
      </c>
      <c r="C5" s="194"/>
      <c r="F5" s="208"/>
    </row>
    <row r="6" spans="2:111" s="101" customFormat="1" ht="11.25" x14ac:dyDescent="0.2">
      <c r="B6" s="89" t="s">
        <v>95</v>
      </c>
      <c r="C6" s="194"/>
      <c r="D6" s="181">
        <f t="shared" ref="D6:AI6" si="0">+SUM(D7:D14)</f>
        <v>0</v>
      </c>
      <c r="E6" s="182">
        <f t="shared" si="0"/>
        <v>0</v>
      </c>
      <c r="F6" s="209">
        <f t="shared" si="0"/>
        <v>0</v>
      </c>
      <c r="G6" s="182">
        <f t="shared" si="0"/>
        <v>13115402.547838939</v>
      </c>
      <c r="H6" s="182">
        <f t="shared" si="0"/>
        <v>13115402.547838939</v>
      </c>
      <c r="I6" s="182">
        <f t="shared" si="0"/>
        <v>13115402.547838939</v>
      </c>
      <c r="J6" s="182">
        <f t="shared" si="0"/>
        <v>13115402.547838939</v>
      </c>
      <c r="K6" s="182">
        <f t="shared" si="0"/>
        <v>13115402.547838939</v>
      </c>
      <c r="L6" s="182">
        <f t="shared" si="0"/>
        <v>13115402.547838939</v>
      </c>
      <c r="M6" s="182">
        <f t="shared" si="0"/>
        <v>13115402.547838939</v>
      </c>
      <c r="N6" s="182">
        <f t="shared" si="0"/>
        <v>13115402.547838939</v>
      </c>
      <c r="O6" s="183">
        <f t="shared" si="0"/>
        <v>13115402.547838939</v>
      </c>
      <c r="P6" s="181">
        <f t="shared" si="0"/>
        <v>13115402.547838939</v>
      </c>
      <c r="Q6" s="182">
        <f t="shared" si="0"/>
        <v>13115402.547838939</v>
      </c>
      <c r="R6" s="182">
        <f t="shared" si="0"/>
        <v>13115402.547838939</v>
      </c>
      <c r="S6" s="182">
        <f t="shared" si="0"/>
        <v>13115402.547838939</v>
      </c>
      <c r="T6" s="182">
        <f t="shared" si="0"/>
        <v>13115402.547838939</v>
      </c>
      <c r="U6" s="182">
        <f t="shared" si="0"/>
        <v>13115402.547838939</v>
      </c>
      <c r="V6" s="182">
        <f t="shared" si="0"/>
        <v>13115402.547838939</v>
      </c>
      <c r="W6" s="182">
        <f t="shared" si="0"/>
        <v>13115402.547838939</v>
      </c>
      <c r="X6" s="182">
        <f t="shared" si="0"/>
        <v>13115402.547838939</v>
      </c>
      <c r="Y6" s="182">
        <f t="shared" si="0"/>
        <v>13115402.547838939</v>
      </c>
      <c r="Z6" s="182">
        <f t="shared" si="0"/>
        <v>13115402.547838939</v>
      </c>
      <c r="AA6" s="183">
        <f t="shared" si="0"/>
        <v>150852687.52049738</v>
      </c>
      <c r="AB6" s="181">
        <f t="shared" si="0"/>
        <v>0</v>
      </c>
      <c r="AC6" s="182">
        <f t="shared" si="0"/>
        <v>0</v>
      </c>
      <c r="AD6" s="182">
        <f t="shared" si="0"/>
        <v>0</v>
      </c>
      <c r="AE6" s="182">
        <f t="shared" si="0"/>
        <v>13115402.547838939</v>
      </c>
      <c r="AF6" s="182">
        <f t="shared" si="0"/>
        <v>13115402.547838939</v>
      </c>
      <c r="AG6" s="182">
        <f t="shared" si="0"/>
        <v>13115402.547838939</v>
      </c>
      <c r="AH6" s="182">
        <f t="shared" si="0"/>
        <v>13115402.547838939</v>
      </c>
      <c r="AI6" s="182">
        <f t="shared" si="0"/>
        <v>13115402.547838939</v>
      </c>
      <c r="AJ6" s="182">
        <f t="shared" ref="AJ6:BO6" si="1">+SUM(AJ7:AJ14)</f>
        <v>13115402.547838939</v>
      </c>
      <c r="AK6" s="182">
        <f t="shared" si="1"/>
        <v>13115402.547838939</v>
      </c>
      <c r="AL6" s="182">
        <f t="shared" si="1"/>
        <v>13115402.547838939</v>
      </c>
      <c r="AM6" s="183">
        <f t="shared" si="1"/>
        <v>13115402.547838939</v>
      </c>
      <c r="AN6" s="181">
        <f t="shared" si="1"/>
        <v>13115402.547838939</v>
      </c>
      <c r="AO6" s="182">
        <f t="shared" si="1"/>
        <v>13115402.547838939</v>
      </c>
      <c r="AP6" s="182">
        <f t="shared" si="1"/>
        <v>13115402.547838939</v>
      </c>
      <c r="AQ6" s="182">
        <f t="shared" si="1"/>
        <v>13115402.547838939</v>
      </c>
      <c r="AR6" s="182">
        <f t="shared" si="1"/>
        <v>13115402.547838939</v>
      </c>
      <c r="AS6" s="182">
        <f t="shared" si="1"/>
        <v>13115402.547838939</v>
      </c>
      <c r="AT6" s="182">
        <f t="shared" si="1"/>
        <v>13115402.547838939</v>
      </c>
      <c r="AU6" s="182">
        <f t="shared" si="1"/>
        <v>13115402.547838939</v>
      </c>
      <c r="AV6" s="182">
        <f t="shared" si="1"/>
        <v>13115402.547838939</v>
      </c>
      <c r="AW6" s="182">
        <f t="shared" si="1"/>
        <v>13115402.547838939</v>
      </c>
      <c r="AX6" s="182">
        <f t="shared" si="1"/>
        <v>13115402.547838939</v>
      </c>
      <c r="AY6" s="183">
        <f t="shared" si="1"/>
        <v>150852687.52049738</v>
      </c>
      <c r="AZ6" s="181">
        <f t="shared" si="1"/>
        <v>0</v>
      </c>
      <c r="BA6" s="182">
        <f t="shared" si="1"/>
        <v>0</v>
      </c>
      <c r="BB6" s="182">
        <f t="shared" si="1"/>
        <v>0</v>
      </c>
      <c r="BC6" s="182">
        <f t="shared" si="1"/>
        <v>13115402.547838939</v>
      </c>
      <c r="BD6" s="182">
        <f t="shared" si="1"/>
        <v>13115402.547838939</v>
      </c>
      <c r="BE6" s="182">
        <f t="shared" si="1"/>
        <v>13115402.547838939</v>
      </c>
      <c r="BF6" s="182">
        <f t="shared" si="1"/>
        <v>13115402.547838939</v>
      </c>
      <c r="BG6" s="182">
        <f t="shared" si="1"/>
        <v>13115402.547838939</v>
      </c>
      <c r="BH6" s="182">
        <f t="shared" si="1"/>
        <v>13115402.547838939</v>
      </c>
      <c r="BI6" s="182">
        <f t="shared" si="1"/>
        <v>13115402.547838939</v>
      </c>
      <c r="BJ6" s="182">
        <f t="shared" si="1"/>
        <v>13115402.547838939</v>
      </c>
      <c r="BK6" s="183">
        <f t="shared" si="1"/>
        <v>13115402.547838939</v>
      </c>
      <c r="BL6" s="181">
        <f t="shared" si="1"/>
        <v>13115402.547838939</v>
      </c>
      <c r="BM6" s="182">
        <f t="shared" si="1"/>
        <v>13115402.547838939</v>
      </c>
      <c r="BN6" s="182">
        <f t="shared" si="1"/>
        <v>13115402.547838939</v>
      </c>
      <c r="BO6" s="182">
        <f t="shared" si="1"/>
        <v>13115402.547838939</v>
      </c>
      <c r="BP6" s="182">
        <f t="shared" ref="BP6:CU6" si="2">+SUM(BP7:BP14)</f>
        <v>13115402.547838939</v>
      </c>
      <c r="BQ6" s="182">
        <f t="shared" si="2"/>
        <v>13115402.547838939</v>
      </c>
      <c r="BR6" s="182">
        <f t="shared" si="2"/>
        <v>13115402.547838939</v>
      </c>
      <c r="BS6" s="182">
        <f t="shared" si="2"/>
        <v>13115402.547838939</v>
      </c>
      <c r="BT6" s="182">
        <f t="shared" si="2"/>
        <v>13115402.547838939</v>
      </c>
      <c r="BU6" s="182">
        <f t="shared" si="2"/>
        <v>13115402.547838939</v>
      </c>
      <c r="BV6" s="182">
        <f t="shared" si="2"/>
        <v>13115402.547838939</v>
      </c>
      <c r="BW6" s="183">
        <f t="shared" si="2"/>
        <v>150852687.52049738</v>
      </c>
      <c r="BX6" s="181">
        <f t="shared" si="2"/>
        <v>0</v>
      </c>
      <c r="BY6" s="182">
        <f t="shared" si="2"/>
        <v>0</v>
      </c>
      <c r="BZ6" s="182">
        <f t="shared" si="2"/>
        <v>0</v>
      </c>
      <c r="CA6" s="182">
        <f t="shared" si="2"/>
        <v>13115402.547838939</v>
      </c>
      <c r="CB6" s="182">
        <f t="shared" si="2"/>
        <v>13115402.547838939</v>
      </c>
      <c r="CC6" s="182">
        <f t="shared" si="2"/>
        <v>13115402.547838939</v>
      </c>
      <c r="CD6" s="182">
        <f t="shared" si="2"/>
        <v>13115402.547838939</v>
      </c>
      <c r="CE6" s="182">
        <f t="shared" si="2"/>
        <v>13115402.547838939</v>
      </c>
      <c r="CF6" s="182">
        <f t="shared" si="2"/>
        <v>13115402.547838939</v>
      </c>
      <c r="CG6" s="182">
        <f t="shared" si="2"/>
        <v>13115402.547838939</v>
      </c>
      <c r="CH6" s="182">
        <f t="shared" si="2"/>
        <v>13115402.547838939</v>
      </c>
      <c r="CI6" s="183">
        <f t="shared" si="2"/>
        <v>13115402.547838939</v>
      </c>
      <c r="CJ6" s="181">
        <f t="shared" si="2"/>
        <v>13115402.547838939</v>
      </c>
      <c r="CK6" s="182">
        <f t="shared" si="2"/>
        <v>13115402.547838939</v>
      </c>
      <c r="CL6" s="182">
        <f t="shared" si="2"/>
        <v>13115402.547838939</v>
      </c>
      <c r="CM6" s="182">
        <f t="shared" si="2"/>
        <v>13115402.547838939</v>
      </c>
      <c r="CN6" s="182">
        <f t="shared" si="2"/>
        <v>13115402.547838939</v>
      </c>
      <c r="CO6" s="182">
        <f t="shared" si="2"/>
        <v>13115402.547838939</v>
      </c>
      <c r="CP6" s="182">
        <f t="shared" si="2"/>
        <v>13115402.547838939</v>
      </c>
      <c r="CQ6" s="182">
        <f t="shared" si="2"/>
        <v>13115402.547838939</v>
      </c>
      <c r="CR6" s="182">
        <f t="shared" si="2"/>
        <v>13115402.547838939</v>
      </c>
      <c r="CS6" s="182">
        <f t="shared" si="2"/>
        <v>13115402.547838939</v>
      </c>
      <c r="CT6" s="182">
        <f t="shared" si="2"/>
        <v>13115402.547838939</v>
      </c>
      <c r="CU6" s="183">
        <f t="shared" si="2"/>
        <v>150852687.52049738</v>
      </c>
      <c r="CV6" s="102">
        <f>+SUM(C6:CU6)</f>
        <v>1652642953.9091036</v>
      </c>
    </row>
    <row r="7" spans="2:111" s="101" customFormat="1" ht="11.25" x14ac:dyDescent="0.2">
      <c r="B7" s="120" t="s">
        <v>126</v>
      </c>
      <c r="C7" s="194"/>
      <c r="D7" s="142"/>
      <c r="E7" s="142"/>
      <c r="F7" s="210"/>
      <c r="G7" s="142">
        <f>+'2) Parámetros y áreas'!$D$24*'2) Parámetros y áreas'!E46</f>
        <v>10374448.477170739</v>
      </c>
      <c r="H7" s="142">
        <f>+'2) Parámetros y áreas'!$D$24*'2) Parámetros y áreas'!F46</f>
        <v>10374448.477170739</v>
      </c>
      <c r="I7" s="142">
        <f>+'2) Parámetros y áreas'!$D$24*'2) Parámetros y áreas'!G46</f>
        <v>10374448.477170739</v>
      </c>
      <c r="J7" s="142">
        <f>+'2) Parámetros y áreas'!$D$24*'2) Parámetros y áreas'!H46</f>
        <v>10374448.477170739</v>
      </c>
      <c r="K7" s="142">
        <f>+'2) Parámetros y áreas'!$D$24*'2) Parámetros y áreas'!I46</f>
        <v>10374448.477170739</v>
      </c>
      <c r="L7" s="142">
        <f>+'2) Parámetros y áreas'!$D$24*'2) Parámetros y áreas'!J46</f>
        <v>10374448.477170739</v>
      </c>
      <c r="M7" s="142">
        <f>+'2) Parámetros y áreas'!$D$24*'2) Parámetros y áreas'!K46</f>
        <v>10374448.477170739</v>
      </c>
      <c r="N7" s="142">
        <f>+'2) Parámetros y áreas'!$D$24*'2) Parámetros y áreas'!L46</f>
        <v>10374448.477170739</v>
      </c>
      <c r="O7" s="142">
        <f>+'2) Parámetros y áreas'!$D$24*'2) Parámetros y áreas'!M46</f>
        <v>10374448.477170739</v>
      </c>
      <c r="P7" s="142">
        <f>+'2) Parámetros y áreas'!$D$24*'2) Parámetros y áreas'!N46</f>
        <v>10374448.477170739</v>
      </c>
      <c r="Q7" s="142">
        <f>+'2) Parámetros y áreas'!$D$24*'2) Parámetros y áreas'!O46</f>
        <v>10374448.477170739</v>
      </c>
      <c r="R7" s="142">
        <f>+'2) Parámetros y áreas'!$D$24*'2) Parámetros y áreas'!P46</f>
        <v>10374448.477170739</v>
      </c>
      <c r="S7" s="142">
        <f>+'2) Parámetros y áreas'!$D$24*'2) Parámetros y áreas'!Q46</f>
        <v>10374448.477170739</v>
      </c>
      <c r="T7" s="142">
        <f>+'2) Parámetros y áreas'!$D$24*'2) Parámetros y áreas'!R46</f>
        <v>10374448.477170739</v>
      </c>
      <c r="U7" s="142">
        <f>+'2) Parámetros y áreas'!$D$24*'2) Parámetros y áreas'!S46</f>
        <v>10374448.477170739</v>
      </c>
      <c r="V7" s="142">
        <f>+'2) Parámetros y áreas'!$D$24*'2) Parámetros y áreas'!T46</f>
        <v>10374448.477170739</v>
      </c>
      <c r="W7" s="142">
        <f>+'2) Parámetros y áreas'!$D$24*'2) Parámetros y áreas'!U46</f>
        <v>10374448.477170739</v>
      </c>
      <c r="X7" s="142">
        <f>+'2) Parámetros y áreas'!$D$24*'2) Parámetros y áreas'!V46</f>
        <v>10374448.477170739</v>
      </c>
      <c r="Y7" s="142">
        <f>+'2) Parámetros y áreas'!$D$24*'2) Parámetros y áreas'!W46</f>
        <v>10374448.477170739</v>
      </c>
      <c r="Z7" s="142">
        <f>+'2) Parámetros y áreas'!$D$24*'2) Parámetros y áreas'!X46</f>
        <v>10374448.477170739</v>
      </c>
      <c r="AA7" s="142">
        <f>+'2) Parámetros y áreas'!$D$24*'2) Parámetros y áreas'!Y46</f>
        <v>119326374.36141896</v>
      </c>
      <c r="AB7" s="119"/>
      <c r="AC7" s="119"/>
      <c r="AD7" s="119"/>
      <c r="CV7" s="102">
        <f t="shared" ref="CV7:CV36" si="3">+SUM(C7:CU7)</f>
        <v>326815343.90483367</v>
      </c>
    </row>
    <row r="8" spans="2:111" s="101" customFormat="1" ht="11.25" x14ac:dyDescent="0.2">
      <c r="B8" s="120" t="s">
        <v>127</v>
      </c>
      <c r="C8" s="194"/>
      <c r="D8" s="142"/>
      <c r="E8" s="119"/>
      <c r="F8" s="211"/>
      <c r="G8" s="119"/>
      <c r="H8" s="119"/>
      <c r="I8" s="119"/>
      <c r="J8" s="119"/>
      <c r="K8" s="119"/>
      <c r="L8" s="119"/>
      <c r="M8" s="119"/>
      <c r="N8" s="119"/>
      <c r="O8" s="184"/>
      <c r="P8" s="142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>
        <f>+D7</f>
        <v>0</v>
      </c>
      <c r="AC8" s="119">
        <f t="shared" ref="AC8:AY8" si="4">+E7</f>
        <v>0</v>
      </c>
      <c r="AD8" s="119">
        <f t="shared" si="4"/>
        <v>0</v>
      </c>
      <c r="AE8" s="119">
        <f t="shared" si="4"/>
        <v>10374448.477170739</v>
      </c>
      <c r="AF8" s="119">
        <f t="shared" si="4"/>
        <v>10374448.477170739</v>
      </c>
      <c r="AG8" s="119">
        <f t="shared" si="4"/>
        <v>10374448.477170739</v>
      </c>
      <c r="AH8" s="119">
        <f t="shared" si="4"/>
        <v>10374448.477170739</v>
      </c>
      <c r="AI8" s="119">
        <f t="shared" si="4"/>
        <v>10374448.477170739</v>
      </c>
      <c r="AJ8" s="119">
        <f t="shared" si="4"/>
        <v>10374448.477170739</v>
      </c>
      <c r="AK8" s="119">
        <f t="shared" si="4"/>
        <v>10374448.477170739</v>
      </c>
      <c r="AL8" s="119">
        <f t="shared" si="4"/>
        <v>10374448.477170739</v>
      </c>
      <c r="AM8" s="119">
        <f t="shared" si="4"/>
        <v>10374448.477170739</v>
      </c>
      <c r="AN8" s="119">
        <f t="shared" si="4"/>
        <v>10374448.477170739</v>
      </c>
      <c r="AO8" s="119">
        <f t="shared" si="4"/>
        <v>10374448.477170739</v>
      </c>
      <c r="AP8" s="119">
        <f t="shared" si="4"/>
        <v>10374448.477170739</v>
      </c>
      <c r="AQ8" s="119">
        <f t="shared" si="4"/>
        <v>10374448.477170739</v>
      </c>
      <c r="AR8" s="119">
        <f t="shared" si="4"/>
        <v>10374448.477170739</v>
      </c>
      <c r="AS8" s="119">
        <f t="shared" si="4"/>
        <v>10374448.477170739</v>
      </c>
      <c r="AT8" s="119">
        <f t="shared" si="4"/>
        <v>10374448.477170739</v>
      </c>
      <c r="AU8" s="119">
        <f t="shared" si="4"/>
        <v>10374448.477170739</v>
      </c>
      <c r="AV8" s="119">
        <f t="shared" si="4"/>
        <v>10374448.477170739</v>
      </c>
      <c r="AW8" s="119">
        <f t="shared" si="4"/>
        <v>10374448.477170739</v>
      </c>
      <c r="AX8" s="119">
        <f t="shared" si="4"/>
        <v>10374448.477170739</v>
      </c>
      <c r="AY8" s="119">
        <f t="shared" si="4"/>
        <v>119326374.36141896</v>
      </c>
      <c r="AZ8" s="119"/>
      <c r="BA8" s="119"/>
      <c r="BB8" s="119"/>
      <c r="CV8" s="102">
        <f t="shared" si="3"/>
        <v>326815343.90483367</v>
      </c>
    </row>
    <row r="9" spans="2:111" s="101" customFormat="1" ht="11.25" x14ac:dyDescent="0.2">
      <c r="B9" s="120" t="s">
        <v>128</v>
      </c>
      <c r="C9" s="194"/>
      <c r="D9" s="142"/>
      <c r="E9" s="119"/>
      <c r="F9" s="211"/>
      <c r="G9" s="119"/>
      <c r="H9" s="119"/>
      <c r="I9" s="119"/>
      <c r="J9" s="119"/>
      <c r="K9" s="119"/>
      <c r="L9" s="119"/>
      <c r="M9" s="119"/>
      <c r="N9" s="119"/>
      <c r="O9" s="184"/>
      <c r="P9" s="142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84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>
        <f>+AB8</f>
        <v>0</v>
      </c>
      <c r="BA9" s="185">
        <f t="shared" ref="BA9:BW9" si="5">+AC8</f>
        <v>0</v>
      </c>
      <c r="BB9" s="185">
        <f t="shared" si="5"/>
        <v>0</v>
      </c>
      <c r="BC9" s="185">
        <f t="shared" si="5"/>
        <v>10374448.477170739</v>
      </c>
      <c r="BD9" s="185">
        <f t="shared" si="5"/>
        <v>10374448.477170739</v>
      </c>
      <c r="BE9" s="185">
        <f t="shared" si="5"/>
        <v>10374448.477170739</v>
      </c>
      <c r="BF9" s="185">
        <f t="shared" si="5"/>
        <v>10374448.477170739</v>
      </c>
      <c r="BG9" s="185">
        <f t="shared" si="5"/>
        <v>10374448.477170739</v>
      </c>
      <c r="BH9" s="185">
        <f t="shared" si="5"/>
        <v>10374448.477170739</v>
      </c>
      <c r="BI9" s="185">
        <f t="shared" si="5"/>
        <v>10374448.477170739</v>
      </c>
      <c r="BJ9" s="185">
        <f t="shared" si="5"/>
        <v>10374448.477170739</v>
      </c>
      <c r="BK9" s="185">
        <f t="shared" si="5"/>
        <v>10374448.477170739</v>
      </c>
      <c r="BL9" s="185">
        <f t="shared" si="5"/>
        <v>10374448.477170739</v>
      </c>
      <c r="BM9" s="185">
        <f t="shared" si="5"/>
        <v>10374448.477170739</v>
      </c>
      <c r="BN9" s="185">
        <f t="shared" si="5"/>
        <v>10374448.477170739</v>
      </c>
      <c r="BO9" s="185">
        <f t="shared" si="5"/>
        <v>10374448.477170739</v>
      </c>
      <c r="BP9" s="185">
        <f t="shared" si="5"/>
        <v>10374448.477170739</v>
      </c>
      <c r="BQ9" s="185">
        <f t="shared" si="5"/>
        <v>10374448.477170739</v>
      </c>
      <c r="BR9" s="185">
        <f t="shared" si="5"/>
        <v>10374448.477170739</v>
      </c>
      <c r="BS9" s="185">
        <f t="shared" si="5"/>
        <v>10374448.477170739</v>
      </c>
      <c r="BT9" s="185">
        <f t="shared" si="5"/>
        <v>10374448.477170739</v>
      </c>
      <c r="BU9" s="185">
        <f t="shared" si="5"/>
        <v>10374448.477170739</v>
      </c>
      <c r="BV9" s="185">
        <f t="shared" si="5"/>
        <v>10374448.477170739</v>
      </c>
      <c r="BW9" s="185">
        <f t="shared" si="5"/>
        <v>119326374.36141896</v>
      </c>
      <c r="BX9" s="119"/>
      <c r="BY9" s="119"/>
      <c r="BZ9" s="119"/>
      <c r="CV9" s="102">
        <f t="shared" si="3"/>
        <v>326815343.90483367</v>
      </c>
    </row>
    <row r="10" spans="2:111" s="101" customFormat="1" ht="11.25" x14ac:dyDescent="0.2">
      <c r="B10" s="120" t="s">
        <v>129</v>
      </c>
      <c r="C10" s="194"/>
      <c r="D10" s="142"/>
      <c r="E10" s="119"/>
      <c r="F10" s="211"/>
      <c r="G10" s="119"/>
      <c r="H10" s="119"/>
      <c r="I10" s="119"/>
      <c r="J10" s="119"/>
      <c r="K10" s="119"/>
      <c r="L10" s="119"/>
      <c r="M10" s="119"/>
      <c r="N10" s="119"/>
      <c r="O10" s="184"/>
      <c r="P10" s="142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84"/>
      <c r="BX10" s="142">
        <f>+AZ9</f>
        <v>0</v>
      </c>
      <c r="BY10" s="142">
        <f t="shared" ref="BY10:CU10" si="6">+BA9</f>
        <v>0</v>
      </c>
      <c r="BZ10" s="142">
        <f t="shared" si="6"/>
        <v>0</v>
      </c>
      <c r="CA10" s="142">
        <f t="shared" si="6"/>
        <v>10374448.477170739</v>
      </c>
      <c r="CB10" s="142">
        <f t="shared" si="6"/>
        <v>10374448.477170739</v>
      </c>
      <c r="CC10" s="142">
        <f t="shared" si="6"/>
        <v>10374448.477170739</v>
      </c>
      <c r="CD10" s="142">
        <f t="shared" si="6"/>
        <v>10374448.477170739</v>
      </c>
      <c r="CE10" s="142">
        <f t="shared" si="6"/>
        <v>10374448.477170739</v>
      </c>
      <c r="CF10" s="142">
        <f t="shared" si="6"/>
        <v>10374448.477170739</v>
      </c>
      <c r="CG10" s="142">
        <f t="shared" si="6"/>
        <v>10374448.477170739</v>
      </c>
      <c r="CH10" s="142">
        <f t="shared" si="6"/>
        <v>10374448.477170739</v>
      </c>
      <c r="CI10" s="142">
        <f t="shared" si="6"/>
        <v>10374448.477170739</v>
      </c>
      <c r="CJ10" s="142">
        <f t="shared" si="6"/>
        <v>10374448.477170739</v>
      </c>
      <c r="CK10" s="142">
        <f t="shared" si="6"/>
        <v>10374448.477170739</v>
      </c>
      <c r="CL10" s="142">
        <f t="shared" si="6"/>
        <v>10374448.477170739</v>
      </c>
      <c r="CM10" s="142">
        <f t="shared" si="6"/>
        <v>10374448.477170739</v>
      </c>
      <c r="CN10" s="142">
        <f t="shared" si="6"/>
        <v>10374448.477170739</v>
      </c>
      <c r="CO10" s="142">
        <f t="shared" si="6"/>
        <v>10374448.477170739</v>
      </c>
      <c r="CP10" s="142">
        <f t="shared" si="6"/>
        <v>10374448.477170739</v>
      </c>
      <c r="CQ10" s="142">
        <f t="shared" si="6"/>
        <v>10374448.477170739</v>
      </c>
      <c r="CR10" s="142">
        <f t="shared" si="6"/>
        <v>10374448.477170739</v>
      </c>
      <c r="CS10" s="142">
        <f t="shared" si="6"/>
        <v>10374448.477170739</v>
      </c>
      <c r="CT10" s="142">
        <f t="shared" si="6"/>
        <v>10374448.477170739</v>
      </c>
      <c r="CU10" s="142">
        <f t="shared" si="6"/>
        <v>119326374.36141896</v>
      </c>
      <c r="CV10" s="102">
        <f t="shared" si="3"/>
        <v>326815343.90483367</v>
      </c>
    </row>
    <row r="11" spans="2:111" s="101" customFormat="1" ht="11.25" x14ac:dyDescent="0.2">
      <c r="B11" s="120" t="s">
        <v>137</v>
      </c>
      <c r="C11" s="194"/>
      <c r="D11" s="142"/>
      <c r="E11" s="142"/>
      <c r="F11" s="210"/>
      <c r="G11" s="142">
        <f>+'2) Parámetros y áreas'!$K$18*4*'2) Parámetros y áreas'!E46</f>
        <v>2740954.0706681996</v>
      </c>
      <c r="H11" s="142">
        <f>+'2) Parámetros y áreas'!$K$18*4*'2) Parámetros y áreas'!F46</f>
        <v>2740954.0706681996</v>
      </c>
      <c r="I11" s="142">
        <f>+'2) Parámetros y áreas'!$K$18*4*'2) Parámetros y áreas'!G46</f>
        <v>2740954.0706681996</v>
      </c>
      <c r="J11" s="142">
        <f>+'2) Parámetros y áreas'!$K$18*4*'2) Parámetros y áreas'!H46</f>
        <v>2740954.0706681996</v>
      </c>
      <c r="K11" s="142">
        <f>+'2) Parámetros y áreas'!$K$18*4*'2) Parámetros y áreas'!I46</f>
        <v>2740954.0706681996</v>
      </c>
      <c r="L11" s="142">
        <f>+'2) Parámetros y áreas'!$K$18*4*'2) Parámetros y áreas'!J46</f>
        <v>2740954.0706681996</v>
      </c>
      <c r="M11" s="142">
        <f>+'2) Parámetros y áreas'!$K$18*4*'2) Parámetros y áreas'!K46</f>
        <v>2740954.0706681996</v>
      </c>
      <c r="N11" s="142">
        <f>+'2) Parámetros y áreas'!$K$18*4*'2) Parámetros y áreas'!L46</f>
        <v>2740954.0706681996</v>
      </c>
      <c r="O11" s="142">
        <f>+'2) Parámetros y áreas'!$K$18*4*'2) Parámetros y áreas'!M46</f>
        <v>2740954.0706681996</v>
      </c>
      <c r="P11" s="142">
        <f>+'2) Parámetros y áreas'!$K$18*4*'2) Parámetros y áreas'!N46</f>
        <v>2740954.0706681996</v>
      </c>
      <c r="Q11" s="142">
        <f>+'2) Parámetros y áreas'!$K$18*4*'2) Parámetros y áreas'!O46</f>
        <v>2740954.0706681996</v>
      </c>
      <c r="R11" s="142">
        <f>+'2) Parámetros y áreas'!$K$18*4*'2) Parámetros y áreas'!P46</f>
        <v>2740954.0706681996</v>
      </c>
      <c r="S11" s="142">
        <f>+'2) Parámetros y áreas'!$K$18*4*'2) Parámetros y áreas'!Q46</f>
        <v>2740954.0706681996</v>
      </c>
      <c r="T11" s="142">
        <f>+'2) Parámetros y áreas'!$K$18*4*'2) Parámetros y áreas'!R46</f>
        <v>2740954.0706681996</v>
      </c>
      <c r="U11" s="142">
        <f>+'2) Parámetros y áreas'!$K$18*4*'2) Parámetros y áreas'!S46</f>
        <v>2740954.0706681996</v>
      </c>
      <c r="V11" s="142">
        <f>+'2) Parámetros y áreas'!$K$18*4*'2) Parámetros y áreas'!T46</f>
        <v>2740954.0706681996</v>
      </c>
      <c r="W11" s="142">
        <f>+'2) Parámetros y áreas'!$K$18*4*'2) Parámetros y áreas'!U46</f>
        <v>2740954.0706681996</v>
      </c>
      <c r="X11" s="142">
        <f>+'2) Parámetros y áreas'!$K$18*4*'2) Parámetros y áreas'!V46</f>
        <v>2740954.0706681996</v>
      </c>
      <c r="Y11" s="142">
        <f>+'2) Parámetros y áreas'!$K$18*4*'2) Parámetros y áreas'!W46</f>
        <v>2740954.0706681996</v>
      </c>
      <c r="Z11" s="142">
        <f>+'2) Parámetros y áreas'!$K$18*4*'2) Parámetros y áreas'!X46</f>
        <v>2740954.0706681996</v>
      </c>
      <c r="AA11" s="142">
        <f>+'2) Parámetros y áreas'!$K$18*4*'2) Parámetros y áreas'!Y46</f>
        <v>31526313.159078408</v>
      </c>
      <c r="BX11" s="142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42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02">
        <f t="shared" si="3"/>
        <v>86345394.572442383</v>
      </c>
    </row>
    <row r="12" spans="2:111" s="101" customFormat="1" ht="11.25" x14ac:dyDescent="0.2">
      <c r="B12" s="120" t="s">
        <v>138</v>
      </c>
      <c r="C12" s="194"/>
      <c r="D12" s="142"/>
      <c r="E12" s="119"/>
      <c r="F12" s="211"/>
      <c r="G12" s="119"/>
      <c r="H12" s="119"/>
      <c r="I12" s="119"/>
      <c r="J12" s="119"/>
      <c r="K12" s="119"/>
      <c r="L12" s="119"/>
      <c r="M12" s="119"/>
      <c r="N12" s="119"/>
      <c r="O12" s="184"/>
      <c r="P12" s="142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84"/>
      <c r="AB12" s="119">
        <f t="shared" ref="AB12:AY12" si="7">+D11</f>
        <v>0</v>
      </c>
      <c r="AC12" s="119">
        <f t="shared" si="7"/>
        <v>0</v>
      </c>
      <c r="AD12" s="119">
        <f t="shared" si="7"/>
        <v>0</v>
      </c>
      <c r="AE12" s="119">
        <f t="shared" si="7"/>
        <v>2740954.0706681996</v>
      </c>
      <c r="AF12" s="119">
        <f t="shared" si="7"/>
        <v>2740954.0706681996</v>
      </c>
      <c r="AG12" s="119">
        <f t="shared" si="7"/>
        <v>2740954.0706681996</v>
      </c>
      <c r="AH12" s="119">
        <f t="shared" si="7"/>
        <v>2740954.0706681996</v>
      </c>
      <c r="AI12" s="119">
        <f t="shared" si="7"/>
        <v>2740954.0706681996</v>
      </c>
      <c r="AJ12" s="119">
        <f t="shared" si="7"/>
        <v>2740954.0706681996</v>
      </c>
      <c r="AK12" s="119">
        <f t="shared" si="7"/>
        <v>2740954.0706681996</v>
      </c>
      <c r="AL12" s="119">
        <f t="shared" si="7"/>
        <v>2740954.0706681996</v>
      </c>
      <c r="AM12" s="119">
        <f t="shared" si="7"/>
        <v>2740954.0706681996</v>
      </c>
      <c r="AN12" s="119">
        <f t="shared" si="7"/>
        <v>2740954.0706681996</v>
      </c>
      <c r="AO12" s="119">
        <f t="shared" si="7"/>
        <v>2740954.0706681996</v>
      </c>
      <c r="AP12" s="119">
        <f t="shared" si="7"/>
        <v>2740954.0706681996</v>
      </c>
      <c r="AQ12" s="119">
        <f t="shared" si="7"/>
        <v>2740954.0706681996</v>
      </c>
      <c r="AR12" s="119">
        <f t="shared" si="7"/>
        <v>2740954.0706681996</v>
      </c>
      <c r="AS12" s="119">
        <f t="shared" si="7"/>
        <v>2740954.0706681996</v>
      </c>
      <c r="AT12" s="119">
        <f t="shared" si="7"/>
        <v>2740954.0706681996</v>
      </c>
      <c r="AU12" s="119">
        <f t="shared" si="7"/>
        <v>2740954.0706681996</v>
      </c>
      <c r="AV12" s="119">
        <f t="shared" si="7"/>
        <v>2740954.0706681996</v>
      </c>
      <c r="AW12" s="119">
        <f t="shared" si="7"/>
        <v>2740954.0706681996</v>
      </c>
      <c r="AX12" s="119">
        <f t="shared" si="7"/>
        <v>2740954.0706681996</v>
      </c>
      <c r="AY12" s="119">
        <f t="shared" si="7"/>
        <v>31526313.159078408</v>
      </c>
      <c r="AZ12" s="119"/>
      <c r="BA12" s="119"/>
      <c r="BB12" s="119"/>
      <c r="CV12" s="102">
        <f t="shared" si="3"/>
        <v>86345394.572442383</v>
      </c>
    </row>
    <row r="13" spans="2:111" s="101" customFormat="1" ht="11.25" x14ac:dyDescent="0.2">
      <c r="B13" s="120" t="s">
        <v>139</v>
      </c>
      <c r="C13" s="194"/>
      <c r="D13" s="142"/>
      <c r="E13" s="119"/>
      <c r="F13" s="211"/>
      <c r="G13" s="119"/>
      <c r="H13" s="119"/>
      <c r="I13" s="119"/>
      <c r="J13" s="119"/>
      <c r="K13" s="119"/>
      <c r="L13" s="119"/>
      <c r="M13" s="119"/>
      <c r="N13" s="119"/>
      <c r="O13" s="184"/>
      <c r="P13" s="142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84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>
        <f t="shared" ref="AZ13:BW13" si="8">+AB12</f>
        <v>0</v>
      </c>
      <c r="BA13" s="185">
        <f t="shared" si="8"/>
        <v>0</v>
      </c>
      <c r="BB13" s="185">
        <f t="shared" si="8"/>
        <v>0</v>
      </c>
      <c r="BC13" s="185">
        <f t="shared" si="8"/>
        <v>2740954.0706681996</v>
      </c>
      <c r="BD13" s="185">
        <f t="shared" si="8"/>
        <v>2740954.0706681996</v>
      </c>
      <c r="BE13" s="185">
        <f t="shared" si="8"/>
        <v>2740954.0706681996</v>
      </c>
      <c r="BF13" s="185">
        <f t="shared" si="8"/>
        <v>2740954.0706681996</v>
      </c>
      <c r="BG13" s="185">
        <f t="shared" si="8"/>
        <v>2740954.0706681996</v>
      </c>
      <c r="BH13" s="185">
        <f t="shared" si="8"/>
        <v>2740954.0706681996</v>
      </c>
      <c r="BI13" s="185">
        <f t="shared" si="8"/>
        <v>2740954.0706681996</v>
      </c>
      <c r="BJ13" s="185">
        <f t="shared" si="8"/>
        <v>2740954.0706681996</v>
      </c>
      <c r="BK13" s="185">
        <f t="shared" si="8"/>
        <v>2740954.0706681996</v>
      </c>
      <c r="BL13" s="185">
        <f t="shared" si="8"/>
        <v>2740954.0706681996</v>
      </c>
      <c r="BM13" s="185">
        <f t="shared" si="8"/>
        <v>2740954.0706681996</v>
      </c>
      <c r="BN13" s="185">
        <f t="shared" si="8"/>
        <v>2740954.0706681996</v>
      </c>
      <c r="BO13" s="185">
        <f t="shared" si="8"/>
        <v>2740954.0706681996</v>
      </c>
      <c r="BP13" s="185">
        <f t="shared" si="8"/>
        <v>2740954.0706681996</v>
      </c>
      <c r="BQ13" s="185">
        <f t="shared" si="8"/>
        <v>2740954.0706681996</v>
      </c>
      <c r="BR13" s="185">
        <f t="shared" si="8"/>
        <v>2740954.0706681996</v>
      </c>
      <c r="BS13" s="185">
        <f t="shared" si="8"/>
        <v>2740954.0706681996</v>
      </c>
      <c r="BT13" s="185">
        <f t="shared" si="8"/>
        <v>2740954.0706681996</v>
      </c>
      <c r="BU13" s="185">
        <f t="shared" si="8"/>
        <v>2740954.0706681996</v>
      </c>
      <c r="BV13" s="185">
        <f t="shared" si="8"/>
        <v>2740954.0706681996</v>
      </c>
      <c r="BW13" s="185">
        <f t="shared" si="8"/>
        <v>31526313.159078408</v>
      </c>
      <c r="BX13" s="119"/>
      <c r="BY13" s="119"/>
      <c r="BZ13" s="119"/>
      <c r="CV13" s="102">
        <f t="shared" si="3"/>
        <v>86345394.572442383</v>
      </c>
    </row>
    <row r="14" spans="2:111" s="101" customFormat="1" ht="11.25" x14ac:dyDescent="0.2">
      <c r="B14" s="120" t="s">
        <v>140</v>
      </c>
      <c r="C14" s="194"/>
      <c r="D14" s="142"/>
      <c r="E14" s="119"/>
      <c r="F14" s="211"/>
      <c r="G14" s="119"/>
      <c r="H14" s="119"/>
      <c r="I14" s="119"/>
      <c r="J14" s="119"/>
      <c r="K14" s="119"/>
      <c r="L14" s="119"/>
      <c r="M14" s="119"/>
      <c r="N14" s="119"/>
      <c r="O14" s="184"/>
      <c r="P14" s="142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84"/>
      <c r="BX14" s="142">
        <f t="shared" ref="BX14:CU14" si="9">+AZ13</f>
        <v>0</v>
      </c>
      <c r="BY14" s="142">
        <f t="shared" si="9"/>
        <v>0</v>
      </c>
      <c r="BZ14" s="142">
        <f t="shared" si="9"/>
        <v>0</v>
      </c>
      <c r="CA14" s="142">
        <f t="shared" si="9"/>
        <v>2740954.0706681996</v>
      </c>
      <c r="CB14" s="142">
        <f t="shared" si="9"/>
        <v>2740954.0706681996</v>
      </c>
      <c r="CC14" s="142">
        <f t="shared" si="9"/>
        <v>2740954.0706681996</v>
      </c>
      <c r="CD14" s="142">
        <f t="shared" si="9"/>
        <v>2740954.0706681996</v>
      </c>
      <c r="CE14" s="142">
        <f t="shared" si="9"/>
        <v>2740954.0706681996</v>
      </c>
      <c r="CF14" s="142">
        <f t="shared" si="9"/>
        <v>2740954.0706681996</v>
      </c>
      <c r="CG14" s="142">
        <f t="shared" si="9"/>
        <v>2740954.0706681996</v>
      </c>
      <c r="CH14" s="142">
        <f t="shared" si="9"/>
        <v>2740954.0706681996</v>
      </c>
      <c r="CI14" s="142">
        <f t="shared" si="9"/>
        <v>2740954.0706681996</v>
      </c>
      <c r="CJ14" s="142">
        <f t="shared" si="9"/>
        <v>2740954.0706681996</v>
      </c>
      <c r="CK14" s="142">
        <f t="shared" si="9"/>
        <v>2740954.0706681996</v>
      </c>
      <c r="CL14" s="142">
        <f t="shared" si="9"/>
        <v>2740954.0706681996</v>
      </c>
      <c r="CM14" s="142">
        <f t="shared" si="9"/>
        <v>2740954.0706681996</v>
      </c>
      <c r="CN14" s="142">
        <f t="shared" si="9"/>
        <v>2740954.0706681996</v>
      </c>
      <c r="CO14" s="142">
        <f t="shared" si="9"/>
        <v>2740954.0706681996</v>
      </c>
      <c r="CP14" s="142">
        <f t="shared" si="9"/>
        <v>2740954.0706681996</v>
      </c>
      <c r="CQ14" s="142">
        <f t="shared" si="9"/>
        <v>2740954.0706681996</v>
      </c>
      <c r="CR14" s="142">
        <f t="shared" si="9"/>
        <v>2740954.0706681996</v>
      </c>
      <c r="CS14" s="142">
        <f t="shared" si="9"/>
        <v>2740954.0706681996</v>
      </c>
      <c r="CT14" s="142">
        <f t="shared" si="9"/>
        <v>2740954.0706681996</v>
      </c>
      <c r="CU14" s="142">
        <f t="shared" si="9"/>
        <v>31526313.159078408</v>
      </c>
      <c r="CV14" s="102">
        <f t="shared" si="3"/>
        <v>86345394.572442383</v>
      </c>
    </row>
    <row r="15" spans="2:111" s="101" customFormat="1" ht="11.25" x14ac:dyDescent="0.2">
      <c r="B15" s="120"/>
      <c r="C15" s="194"/>
      <c r="D15" s="142"/>
      <c r="E15" s="119"/>
      <c r="F15" s="211"/>
      <c r="G15" s="119"/>
      <c r="H15" s="119"/>
      <c r="I15" s="119"/>
      <c r="J15" s="119"/>
      <c r="K15" s="119"/>
      <c r="L15" s="119"/>
      <c r="M15" s="119"/>
      <c r="N15" s="119"/>
      <c r="O15" s="184"/>
      <c r="P15" s="142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84"/>
      <c r="BX15" s="142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42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02"/>
    </row>
    <row r="16" spans="2:111" s="101" customFormat="1" ht="11.25" x14ac:dyDescent="0.2">
      <c r="B16" s="89" t="s">
        <v>96</v>
      </c>
      <c r="C16" s="194"/>
      <c r="D16" s="142">
        <f>+SUM(D17:D19)</f>
        <v>0</v>
      </c>
      <c r="E16" s="119">
        <f t="shared" ref="E16:AA16" si="10">+SUM(E17:E19)</f>
        <v>0</v>
      </c>
      <c r="F16" s="211">
        <f t="shared" si="10"/>
        <v>0</v>
      </c>
      <c r="G16" s="119">
        <f t="shared" si="10"/>
        <v>6552621.0604326446</v>
      </c>
      <c r="H16" s="119">
        <f t="shared" si="10"/>
        <v>6552621.0604326446</v>
      </c>
      <c r="I16" s="119">
        <f t="shared" si="10"/>
        <v>6552621.0604326446</v>
      </c>
      <c r="J16" s="119">
        <f t="shared" si="10"/>
        <v>6552621.0604326446</v>
      </c>
      <c r="K16" s="119">
        <f t="shared" si="10"/>
        <v>6552621.0604326446</v>
      </c>
      <c r="L16" s="119">
        <f t="shared" si="10"/>
        <v>6552621.0604326446</v>
      </c>
      <c r="M16" s="119">
        <f t="shared" si="10"/>
        <v>6552621.0604326446</v>
      </c>
      <c r="N16" s="119">
        <f t="shared" si="10"/>
        <v>6552621.0604326446</v>
      </c>
      <c r="O16" s="129">
        <f t="shared" si="10"/>
        <v>6552621.0604326446</v>
      </c>
      <c r="P16" s="142">
        <f t="shared" si="10"/>
        <v>5150206.9395673554</v>
      </c>
      <c r="Q16" s="119">
        <f t="shared" si="10"/>
        <v>5150206.9395673554</v>
      </c>
      <c r="R16" s="119">
        <f t="shared" si="10"/>
        <v>5150206.9395673554</v>
      </c>
      <c r="S16" s="119">
        <f t="shared" si="10"/>
        <v>5150206.9395673554</v>
      </c>
      <c r="T16" s="119">
        <f t="shared" si="10"/>
        <v>5150206.9395673554</v>
      </c>
      <c r="U16" s="119">
        <f>+SUM(U17:U19)</f>
        <v>5150206.9395673554</v>
      </c>
      <c r="V16" s="119">
        <f t="shared" si="10"/>
        <v>5150206.9395673554</v>
      </c>
      <c r="W16" s="119">
        <f t="shared" si="10"/>
        <v>5150206.9395673554</v>
      </c>
      <c r="X16" s="119">
        <f t="shared" si="10"/>
        <v>5150206.9395673554</v>
      </c>
      <c r="Y16" s="119">
        <f t="shared" si="10"/>
        <v>5150206.9395673554</v>
      </c>
      <c r="Z16" s="119">
        <f t="shared" si="10"/>
        <v>5150206.9395673554</v>
      </c>
      <c r="AA16" s="129">
        <f t="shared" si="10"/>
        <v>5150206.9395673554</v>
      </c>
      <c r="AB16" s="142">
        <f>+SUM(AB17:AB19)</f>
        <v>6552621.0604326446</v>
      </c>
      <c r="AC16" s="119">
        <f t="shared" ref="AC16:AM16" si="11">+SUM(AC17:AC19)</f>
        <v>6552621.0604326446</v>
      </c>
      <c r="AD16" s="119">
        <f t="shared" si="11"/>
        <v>6552621.0604326446</v>
      </c>
      <c r="AE16" s="119">
        <f t="shared" si="11"/>
        <v>6552621.0604326446</v>
      </c>
      <c r="AF16" s="119">
        <f t="shared" si="11"/>
        <v>6552621.0604326446</v>
      </c>
      <c r="AG16" s="119">
        <f t="shared" si="11"/>
        <v>6552621.0604326446</v>
      </c>
      <c r="AH16" s="119">
        <f t="shared" si="11"/>
        <v>6552621.0604326446</v>
      </c>
      <c r="AI16" s="119">
        <f t="shared" si="11"/>
        <v>6552621.0604326446</v>
      </c>
      <c r="AJ16" s="119">
        <f t="shared" si="11"/>
        <v>6552621.0604326446</v>
      </c>
      <c r="AK16" s="119">
        <f t="shared" si="11"/>
        <v>6552621.0604326446</v>
      </c>
      <c r="AL16" s="119">
        <f t="shared" si="11"/>
        <v>6552621.0604326446</v>
      </c>
      <c r="AM16" s="129">
        <f t="shared" si="11"/>
        <v>6552621.0604326446</v>
      </c>
      <c r="AN16" s="142">
        <f>+SUM(AN17:AN19)</f>
        <v>5150206.9395673554</v>
      </c>
      <c r="AO16" s="119">
        <f t="shared" ref="AO16:AY16" si="12">+SUM(AO17:AO19)</f>
        <v>5150206.9395673554</v>
      </c>
      <c r="AP16" s="119">
        <f t="shared" si="12"/>
        <v>5150206.9395673554</v>
      </c>
      <c r="AQ16" s="119">
        <f t="shared" si="12"/>
        <v>5150206.9395673554</v>
      </c>
      <c r="AR16" s="119">
        <f t="shared" si="12"/>
        <v>5150206.9395673554</v>
      </c>
      <c r="AS16" s="119">
        <f t="shared" si="12"/>
        <v>5150206.9395673554</v>
      </c>
      <c r="AT16" s="119">
        <f t="shared" si="12"/>
        <v>5150206.9395673554</v>
      </c>
      <c r="AU16" s="119">
        <f t="shared" si="12"/>
        <v>5150206.9395673554</v>
      </c>
      <c r="AV16" s="119">
        <f t="shared" si="12"/>
        <v>5150206.9395673554</v>
      </c>
      <c r="AW16" s="119">
        <f t="shared" si="12"/>
        <v>5150206.9395673554</v>
      </c>
      <c r="AX16" s="119">
        <f t="shared" si="12"/>
        <v>5150206.9395673554</v>
      </c>
      <c r="AY16" s="129">
        <f t="shared" si="12"/>
        <v>5150206.9395673554</v>
      </c>
      <c r="AZ16" s="142">
        <f>+SUM(AZ17:AZ19)</f>
        <v>6552621.0604326446</v>
      </c>
      <c r="BA16" s="119">
        <f t="shared" ref="BA16:BK16" si="13">+SUM(BA17:BA19)</f>
        <v>6552621.0604326446</v>
      </c>
      <c r="BB16" s="119">
        <f t="shared" si="13"/>
        <v>6552621.0604326446</v>
      </c>
      <c r="BC16" s="119">
        <f t="shared" si="13"/>
        <v>6552621.0604326446</v>
      </c>
      <c r="BD16" s="119">
        <f t="shared" si="13"/>
        <v>6552621.0604326446</v>
      </c>
      <c r="BE16" s="119">
        <f t="shared" si="13"/>
        <v>6552621.0604326446</v>
      </c>
      <c r="BF16" s="119">
        <f t="shared" si="13"/>
        <v>6552621.0604326446</v>
      </c>
      <c r="BG16" s="119">
        <f t="shared" si="13"/>
        <v>6552621.0604326446</v>
      </c>
      <c r="BH16" s="119">
        <f t="shared" si="13"/>
        <v>6552621.0604326446</v>
      </c>
      <c r="BI16" s="119">
        <f t="shared" si="13"/>
        <v>6552621.0604326446</v>
      </c>
      <c r="BJ16" s="119">
        <f t="shared" si="13"/>
        <v>6552621.0604326446</v>
      </c>
      <c r="BK16" s="129">
        <f t="shared" si="13"/>
        <v>6552621.0604326446</v>
      </c>
      <c r="BL16" s="142">
        <f>+SUM(BL17:BL19)</f>
        <v>5150206.9395673554</v>
      </c>
      <c r="BM16" s="119">
        <f t="shared" ref="BM16:BW16" si="14">+SUM(BM17:BM19)</f>
        <v>5150206.9395673554</v>
      </c>
      <c r="BN16" s="119">
        <f t="shared" si="14"/>
        <v>5150206.9395673554</v>
      </c>
      <c r="BO16" s="119">
        <f t="shared" si="14"/>
        <v>5150206.9395673554</v>
      </c>
      <c r="BP16" s="119">
        <f t="shared" si="14"/>
        <v>5150206.9395673554</v>
      </c>
      <c r="BQ16" s="119">
        <f t="shared" si="14"/>
        <v>5150206.9395673554</v>
      </c>
      <c r="BR16" s="119">
        <f t="shared" si="14"/>
        <v>5150206.9395673554</v>
      </c>
      <c r="BS16" s="119">
        <f t="shared" si="14"/>
        <v>5150206.9395673554</v>
      </c>
      <c r="BT16" s="119">
        <f t="shared" si="14"/>
        <v>5150206.9395673554</v>
      </c>
      <c r="BU16" s="119">
        <f t="shared" si="14"/>
        <v>5150206.9395673554</v>
      </c>
      <c r="BV16" s="119">
        <f t="shared" si="14"/>
        <v>5150206.9395673554</v>
      </c>
      <c r="BW16" s="129">
        <f t="shared" si="14"/>
        <v>5150206.9395673554</v>
      </c>
      <c r="BX16" s="142">
        <f>+SUM(BX17:BX19)</f>
        <v>6552621.0604326446</v>
      </c>
      <c r="BY16" s="119">
        <f t="shared" ref="BY16:CI16" si="15">+SUM(BY17:BY19)</f>
        <v>6552621.0604326446</v>
      </c>
      <c r="BZ16" s="119">
        <f t="shared" si="15"/>
        <v>6552621.0604326446</v>
      </c>
      <c r="CA16" s="119">
        <f t="shared" si="15"/>
        <v>6552621.0604326446</v>
      </c>
      <c r="CB16" s="119">
        <f t="shared" si="15"/>
        <v>6552621.0604326446</v>
      </c>
      <c r="CC16" s="119">
        <f t="shared" si="15"/>
        <v>6552621.0604326446</v>
      </c>
      <c r="CD16" s="119">
        <f t="shared" si="15"/>
        <v>6552621.0604326446</v>
      </c>
      <c r="CE16" s="119">
        <f t="shared" si="15"/>
        <v>6552621.0604326446</v>
      </c>
      <c r="CF16" s="119">
        <f t="shared" si="15"/>
        <v>6552621.0604326446</v>
      </c>
      <c r="CG16" s="119">
        <f t="shared" si="15"/>
        <v>6552621.0604326446</v>
      </c>
      <c r="CH16" s="119">
        <f t="shared" si="15"/>
        <v>6552621.0604326446</v>
      </c>
      <c r="CI16" s="129">
        <f t="shared" si="15"/>
        <v>6552621.0604326446</v>
      </c>
      <c r="CJ16" s="142">
        <f>+SUM(CJ17:CJ19)</f>
        <v>5150206.9395673554</v>
      </c>
      <c r="CK16" s="119">
        <f t="shared" ref="CK16:CU16" si="16">+SUM(CK17:CK19)</f>
        <v>5150206.9395673554</v>
      </c>
      <c r="CL16" s="119">
        <f t="shared" si="16"/>
        <v>5150206.9395673554</v>
      </c>
      <c r="CM16" s="119">
        <f t="shared" si="16"/>
        <v>5150206.9395673554</v>
      </c>
      <c r="CN16" s="119">
        <f t="shared" si="16"/>
        <v>5150206.9395673554</v>
      </c>
      <c r="CO16" s="119">
        <f t="shared" si="16"/>
        <v>5150206.9395673554</v>
      </c>
      <c r="CP16" s="119">
        <f t="shared" si="16"/>
        <v>5150206.9395673554</v>
      </c>
      <c r="CQ16" s="119">
        <f t="shared" si="16"/>
        <v>5150206.9395673554</v>
      </c>
      <c r="CR16" s="119">
        <f t="shared" si="16"/>
        <v>5150206.9395673554</v>
      </c>
      <c r="CS16" s="119">
        <f t="shared" si="16"/>
        <v>5150206.9395673554</v>
      </c>
      <c r="CT16" s="119">
        <f t="shared" si="16"/>
        <v>5150206.9395673554</v>
      </c>
      <c r="CU16" s="129">
        <f t="shared" si="16"/>
        <v>5150206.9395673554</v>
      </c>
      <c r="CV16" s="102">
        <f t="shared" si="3"/>
        <v>542077880.8187021</v>
      </c>
    </row>
    <row r="17" spans="1:100" s="101" customFormat="1" ht="11.25" x14ac:dyDescent="0.2">
      <c r="B17" s="90" t="s">
        <v>153</v>
      </c>
      <c r="C17" s="194"/>
      <c r="D17" s="142"/>
      <c r="E17" s="119"/>
      <c r="F17" s="211"/>
      <c r="G17" s="119">
        <f>+'1.1) Desagregado Trimestral'!$D$13/3</f>
        <v>5439204.3937659776</v>
      </c>
      <c r="H17" s="119">
        <f>+'1.1) Desagregado Trimestral'!$D$13/3</f>
        <v>5439204.3937659776</v>
      </c>
      <c r="I17" s="119">
        <f>+'1.1) Desagregado Trimestral'!$D$13/3</f>
        <v>5439204.3937659776</v>
      </c>
      <c r="J17" s="119">
        <f>+'1.1) Desagregado Trimestral'!$D$13/3</f>
        <v>5439204.3937659776</v>
      </c>
      <c r="K17" s="119">
        <f>+'1.1) Desagregado Trimestral'!$D$13/3</f>
        <v>5439204.3937659776</v>
      </c>
      <c r="L17" s="119">
        <f>+'1.1) Desagregado Trimestral'!$D$13/3</f>
        <v>5439204.3937659776</v>
      </c>
      <c r="M17" s="119">
        <f>+'1.1) Desagregado Trimestral'!$D$13/3</f>
        <v>5439204.3937659776</v>
      </c>
      <c r="N17" s="119">
        <f>+'1.1) Desagregado Trimestral'!$D$13/3</f>
        <v>5439204.3937659776</v>
      </c>
      <c r="O17" s="129">
        <f>+'1.1) Desagregado Trimestral'!$D$13/3</f>
        <v>5439204.3937659776</v>
      </c>
      <c r="P17" s="142">
        <f>+'1.1) Desagregado Trimestral'!$H$13/3</f>
        <v>4036790.2729006894</v>
      </c>
      <c r="Q17" s="119">
        <f>+'1.1) Desagregado Trimestral'!$H$13/3</f>
        <v>4036790.2729006894</v>
      </c>
      <c r="R17" s="119">
        <f>+'1.1) Desagregado Trimestral'!$H$13/3</f>
        <v>4036790.2729006894</v>
      </c>
      <c r="S17" s="119">
        <f>+'1.1) Desagregado Trimestral'!$H$13/3</f>
        <v>4036790.2729006894</v>
      </c>
      <c r="T17" s="119">
        <f>+'1.1) Desagregado Trimestral'!$H$13/3</f>
        <v>4036790.2729006894</v>
      </c>
      <c r="U17" s="119">
        <f>+'1.1) Desagregado Trimestral'!$H$13/3</f>
        <v>4036790.2729006894</v>
      </c>
      <c r="V17" s="119">
        <f>+'1.1) Desagregado Trimestral'!$H$13/3</f>
        <v>4036790.2729006894</v>
      </c>
      <c r="W17" s="119">
        <f>+'1.1) Desagregado Trimestral'!$H$13/3</f>
        <v>4036790.2729006894</v>
      </c>
      <c r="X17" s="119">
        <f>+'1.1) Desagregado Trimestral'!$H$13/3</f>
        <v>4036790.2729006894</v>
      </c>
      <c r="Y17" s="119">
        <f>+'1.1) Desagregado Trimestral'!$H$13/3</f>
        <v>4036790.2729006894</v>
      </c>
      <c r="Z17" s="119">
        <f>+'1.1) Desagregado Trimestral'!$H$13/3</f>
        <v>4036790.2729006894</v>
      </c>
      <c r="AA17" s="129">
        <f>+'1.1) Desagregado Trimestral'!$H$13/3</f>
        <v>4036790.2729006894</v>
      </c>
      <c r="AB17" s="142">
        <v>5439204.3937659776</v>
      </c>
      <c r="AC17" s="119">
        <v>5439204.3937659776</v>
      </c>
      <c r="AD17" s="119">
        <v>5439204.3937659776</v>
      </c>
      <c r="AE17" s="119">
        <v>5439204.3937659776</v>
      </c>
      <c r="AF17" s="119">
        <v>5439204.3937659776</v>
      </c>
      <c r="AG17" s="119">
        <v>5439204.3937659776</v>
      </c>
      <c r="AH17" s="119">
        <v>5439204.3937659776</v>
      </c>
      <c r="AI17" s="119">
        <v>5439204.3937659776</v>
      </c>
      <c r="AJ17" s="119">
        <v>5439204.3937659776</v>
      </c>
      <c r="AK17" s="119">
        <v>5439204.3937659776</v>
      </c>
      <c r="AL17" s="119">
        <v>5439204.3937659776</v>
      </c>
      <c r="AM17" s="129">
        <v>5439204.3937659776</v>
      </c>
      <c r="AN17" s="142">
        <v>4036790.2729006894</v>
      </c>
      <c r="AO17" s="119">
        <v>4036790.2729006894</v>
      </c>
      <c r="AP17" s="119">
        <v>4036790.2729006894</v>
      </c>
      <c r="AQ17" s="119">
        <v>4036790.2729006894</v>
      </c>
      <c r="AR17" s="119">
        <v>4036790.2729006894</v>
      </c>
      <c r="AS17" s="119">
        <v>4036790.2729006894</v>
      </c>
      <c r="AT17" s="119">
        <v>4036790.2729006894</v>
      </c>
      <c r="AU17" s="119">
        <v>4036790.2729006894</v>
      </c>
      <c r="AV17" s="119">
        <v>4036790.2729006894</v>
      </c>
      <c r="AW17" s="119">
        <v>4036790.2729006894</v>
      </c>
      <c r="AX17" s="119">
        <v>4036790.2729006894</v>
      </c>
      <c r="AY17" s="129">
        <v>4036790.2729006894</v>
      </c>
      <c r="AZ17" s="142">
        <v>5439204.3937659776</v>
      </c>
      <c r="BA17" s="119">
        <v>5439204.3937659776</v>
      </c>
      <c r="BB17" s="119">
        <v>5439204.3937659776</v>
      </c>
      <c r="BC17" s="119">
        <v>5439204.3937659776</v>
      </c>
      <c r="BD17" s="119">
        <v>5439204.3937659776</v>
      </c>
      <c r="BE17" s="119">
        <v>5439204.3937659776</v>
      </c>
      <c r="BF17" s="119">
        <v>5439204.3937659776</v>
      </c>
      <c r="BG17" s="119">
        <v>5439204.3937659776</v>
      </c>
      <c r="BH17" s="119">
        <v>5439204.3937659776</v>
      </c>
      <c r="BI17" s="119">
        <v>5439204.3937659776</v>
      </c>
      <c r="BJ17" s="119">
        <v>5439204.3937659776</v>
      </c>
      <c r="BK17" s="129">
        <v>5439204.3937659776</v>
      </c>
      <c r="BL17" s="142">
        <v>4036790.2729006894</v>
      </c>
      <c r="BM17" s="119">
        <v>4036790.2729006894</v>
      </c>
      <c r="BN17" s="119">
        <v>4036790.2729006894</v>
      </c>
      <c r="BO17" s="119">
        <v>4036790.2729006894</v>
      </c>
      <c r="BP17" s="119">
        <v>4036790.2729006894</v>
      </c>
      <c r="BQ17" s="119">
        <v>4036790.2729006894</v>
      </c>
      <c r="BR17" s="119">
        <v>4036790.2729006894</v>
      </c>
      <c r="BS17" s="119">
        <v>4036790.2729006894</v>
      </c>
      <c r="BT17" s="119">
        <v>4036790.2729006894</v>
      </c>
      <c r="BU17" s="119">
        <v>4036790.2729006894</v>
      </c>
      <c r="BV17" s="119">
        <v>4036790.2729006894</v>
      </c>
      <c r="BW17" s="129">
        <v>4036790.2729006894</v>
      </c>
      <c r="BX17" s="142">
        <v>5439204.3937659776</v>
      </c>
      <c r="BY17" s="119">
        <v>5439204.3937659776</v>
      </c>
      <c r="BZ17" s="119">
        <v>5439204.3937659776</v>
      </c>
      <c r="CA17" s="119">
        <v>5439204.3937659776</v>
      </c>
      <c r="CB17" s="119">
        <v>5439204.3937659776</v>
      </c>
      <c r="CC17" s="119">
        <v>5439204.3937659776</v>
      </c>
      <c r="CD17" s="119">
        <v>5439204.3937659776</v>
      </c>
      <c r="CE17" s="119">
        <v>5439204.3937659776</v>
      </c>
      <c r="CF17" s="119">
        <v>5439204.3937659776</v>
      </c>
      <c r="CG17" s="119">
        <v>5439204.3937659776</v>
      </c>
      <c r="CH17" s="119">
        <v>5439204.3937659776</v>
      </c>
      <c r="CI17" s="129">
        <v>5439204.3937659776</v>
      </c>
      <c r="CJ17" s="142">
        <v>4036790.2729006894</v>
      </c>
      <c r="CK17" s="119">
        <v>4036790.2729006894</v>
      </c>
      <c r="CL17" s="119">
        <v>4036790.2729006894</v>
      </c>
      <c r="CM17" s="119">
        <v>4036790.2729006894</v>
      </c>
      <c r="CN17" s="119">
        <v>4036790.2729006894</v>
      </c>
      <c r="CO17" s="119">
        <v>4036790.2729006894</v>
      </c>
      <c r="CP17" s="119">
        <v>4036790.2729006894</v>
      </c>
      <c r="CQ17" s="119">
        <v>4036790.2729006894</v>
      </c>
      <c r="CR17" s="119">
        <v>4036790.2729006894</v>
      </c>
      <c r="CS17" s="119">
        <v>4036790.2729006894</v>
      </c>
      <c r="CT17" s="119">
        <v>4036790.2729006894</v>
      </c>
      <c r="CU17" s="129">
        <v>4036790.2729006894</v>
      </c>
      <c r="CV17" s="102">
        <f t="shared" si="3"/>
        <v>438530130.81870264</v>
      </c>
    </row>
    <row r="18" spans="1:100" s="101" customFormat="1" ht="11.25" x14ac:dyDescent="0.2">
      <c r="B18" s="90" t="s">
        <v>84</v>
      </c>
      <c r="C18" s="194"/>
      <c r="D18" s="142"/>
      <c r="E18" s="119"/>
      <c r="F18" s="211"/>
      <c r="G18" s="119">
        <f>+'1.1) Desagregado Trimestral'!$D$14/3</f>
        <v>138416.66666666666</v>
      </c>
      <c r="H18" s="119">
        <f>+'1.1) Desagregado Trimestral'!$D$14/3</f>
        <v>138416.66666666666</v>
      </c>
      <c r="I18" s="119">
        <f>+'1.1) Desagregado Trimestral'!$D$14/3</f>
        <v>138416.66666666666</v>
      </c>
      <c r="J18" s="119">
        <f>+'1.1) Desagregado Trimestral'!$D$14/3</f>
        <v>138416.66666666666</v>
      </c>
      <c r="K18" s="119">
        <f>+'1.1) Desagregado Trimestral'!$D$14/3</f>
        <v>138416.66666666666</v>
      </c>
      <c r="L18" s="119">
        <f>+'1.1) Desagregado Trimestral'!$D$14/3</f>
        <v>138416.66666666666</v>
      </c>
      <c r="M18" s="119">
        <f>+'1.1) Desagregado Trimestral'!$D$14/3</f>
        <v>138416.66666666666</v>
      </c>
      <c r="N18" s="119">
        <f>+'1.1) Desagregado Trimestral'!$D$14/3</f>
        <v>138416.66666666666</v>
      </c>
      <c r="O18" s="129">
        <f>+'1.1) Desagregado Trimestral'!$D$14/3</f>
        <v>138416.66666666666</v>
      </c>
      <c r="P18" s="142">
        <f>+'1.1) Desagregado Trimestral'!$D$14/3</f>
        <v>138416.66666666666</v>
      </c>
      <c r="Q18" s="119">
        <f>+'1.1) Desagregado Trimestral'!$D$14/3</f>
        <v>138416.66666666666</v>
      </c>
      <c r="R18" s="119">
        <f>+'1.1) Desagregado Trimestral'!$D$14/3</f>
        <v>138416.66666666666</v>
      </c>
      <c r="S18" s="119">
        <f>+'1.1) Desagregado Trimestral'!$D$14/3</f>
        <v>138416.66666666666</v>
      </c>
      <c r="T18" s="119">
        <f>+'1.1) Desagregado Trimestral'!$D$14/3</f>
        <v>138416.66666666666</v>
      </c>
      <c r="U18" s="119">
        <f>+'1.1) Desagregado Trimestral'!$D$14/3</f>
        <v>138416.66666666666</v>
      </c>
      <c r="V18" s="119">
        <f>+'1.1) Desagregado Trimestral'!$D$14/3</f>
        <v>138416.66666666666</v>
      </c>
      <c r="W18" s="119">
        <f>+'1.1) Desagregado Trimestral'!$D$14/3</f>
        <v>138416.66666666666</v>
      </c>
      <c r="X18" s="119">
        <f>+'1.1) Desagregado Trimestral'!$D$14/3</f>
        <v>138416.66666666666</v>
      </c>
      <c r="Y18" s="119">
        <f>+'1.1) Desagregado Trimestral'!$D$14/3</f>
        <v>138416.66666666666</v>
      </c>
      <c r="Z18" s="119">
        <f>+'1.1) Desagregado Trimestral'!$D$14/3</f>
        <v>138416.66666666666</v>
      </c>
      <c r="AA18" s="129">
        <f>+'1.1) Desagregado Trimestral'!$D$14/3</f>
        <v>138416.66666666666</v>
      </c>
      <c r="AB18" s="142">
        <v>138416.66666666666</v>
      </c>
      <c r="AC18" s="119">
        <v>138416.66666666666</v>
      </c>
      <c r="AD18" s="119">
        <v>138416.66666666666</v>
      </c>
      <c r="AE18" s="119">
        <v>138416.66666666666</v>
      </c>
      <c r="AF18" s="119">
        <v>138416.66666666666</v>
      </c>
      <c r="AG18" s="119">
        <v>138416.66666666666</v>
      </c>
      <c r="AH18" s="119">
        <v>138416.66666666666</v>
      </c>
      <c r="AI18" s="119">
        <v>138416.66666666666</v>
      </c>
      <c r="AJ18" s="119">
        <v>138416.66666666666</v>
      </c>
      <c r="AK18" s="119">
        <v>138416.66666666666</v>
      </c>
      <c r="AL18" s="119">
        <v>138416.66666666666</v>
      </c>
      <c r="AM18" s="129">
        <v>138416.66666666666</v>
      </c>
      <c r="AN18" s="142">
        <v>138416.66666666666</v>
      </c>
      <c r="AO18" s="119">
        <v>138416.66666666666</v>
      </c>
      <c r="AP18" s="119">
        <v>138416.66666666666</v>
      </c>
      <c r="AQ18" s="119">
        <v>138416.66666666666</v>
      </c>
      <c r="AR18" s="119">
        <v>138416.66666666666</v>
      </c>
      <c r="AS18" s="119">
        <v>138416.66666666666</v>
      </c>
      <c r="AT18" s="119">
        <v>138416.66666666666</v>
      </c>
      <c r="AU18" s="119">
        <v>138416.66666666666</v>
      </c>
      <c r="AV18" s="119">
        <v>138416.66666666666</v>
      </c>
      <c r="AW18" s="119">
        <v>138416.66666666666</v>
      </c>
      <c r="AX18" s="119">
        <v>138416.66666666666</v>
      </c>
      <c r="AY18" s="129">
        <v>138416.66666666666</v>
      </c>
      <c r="AZ18" s="142">
        <v>138416.66666666666</v>
      </c>
      <c r="BA18" s="119">
        <v>138416.66666666666</v>
      </c>
      <c r="BB18" s="119">
        <v>138416.66666666666</v>
      </c>
      <c r="BC18" s="119">
        <v>138416.66666666666</v>
      </c>
      <c r="BD18" s="119">
        <v>138416.66666666666</v>
      </c>
      <c r="BE18" s="119">
        <v>138416.66666666666</v>
      </c>
      <c r="BF18" s="119">
        <v>138416.66666666666</v>
      </c>
      <c r="BG18" s="119">
        <v>138416.66666666666</v>
      </c>
      <c r="BH18" s="119">
        <v>138416.66666666666</v>
      </c>
      <c r="BI18" s="119">
        <v>138416.66666666666</v>
      </c>
      <c r="BJ18" s="119">
        <v>138416.66666666666</v>
      </c>
      <c r="BK18" s="129">
        <v>138416.66666666666</v>
      </c>
      <c r="BL18" s="142">
        <v>138416.66666666666</v>
      </c>
      <c r="BM18" s="119">
        <v>138416.66666666666</v>
      </c>
      <c r="BN18" s="119">
        <v>138416.66666666666</v>
      </c>
      <c r="BO18" s="119">
        <v>138416.66666666666</v>
      </c>
      <c r="BP18" s="119">
        <v>138416.66666666666</v>
      </c>
      <c r="BQ18" s="119">
        <v>138416.66666666666</v>
      </c>
      <c r="BR18" s="119">
        <v>138416.66666666666</v>
      </c>
      <c r="BS18" s="119">
        <v>138416.66666666666</v>
      </c>
      <c r="BT18" s="119">
        <v>138416.66666666666</v>
      </c>
      <c r="BU18" s="119">
        <v>138416.66666666666</v>
      </c>
      <c r="BV18" s="119">
        <v>138416.66666666666</v>
      </c>
      <c r="BW18" s="129">
        <v>138416.66666666666</v>
      </c>
      <c r="BX18" s="142">
        <v>138416.66666666666</v>
      </c>
      <c r="BY18" s="119">
        <v>138416.66666666666</v>
      </c>
      <c r="BZ18" s="119">
        <v>138416.66666666666</v>
      </c>
      <c r="CA18" s="119">
        <v>138416.66666666666</v>
      </c>
      <c r="CB18" s="119">
        <v>138416.66666666666</v>
      </c>
      <c r="CC18" s="119">
        <v>138416.66666666666</v>
      </c>
      <c r="CD18" s="119">
        <v>138416.66666666666</v>
      </c>
      <c r="CE18" s="119">
        <v>138416.66666666666</v>
      </c>
      <c r="CF18" s="119">
        <v>138416.66666666666</v>
      </c>
      <c r="CG18" s="119">
        <v>138416.66666666666</v>
      </c>
      <c r="CH18" s="119">
        <v>138416.66666666666</v>
      </c>
      <c r="CI18" s="129">
        <v>138416.66666666666</v>
      </c>
      <c r="CJ18" s="142">
        <v>138416.66666666666</v>
      </c>
      <c r="CK18" s="119">
        <v>138416.66666666666</v>
      </c>
      <c r="CL18" s="119">
        <v>138416.66666666666</v>
      </c>
      <c r="CM18" s="119">
        <v>138416.66666666666</v>
      </c>
      <c r="CN18" s="119">
        <v>138416.66666666666</v>
      </c>
      <c r="CO18" s="119">
        <v>138416.66666666666</v>
      </c>
      <c r="CP18" s="119">
        <v>138416.66666666666</v>
      </c>
      <c r="CQ18" s="119">
        <v>138416.66666666666</v>
      </c>
      <c r="CR18" s="119">
        <v>138416.66666666666</v>
      </c>
      <c r="CS18" s="119">
        <v>138416.66666666666</v>
      </c>
      <c r="CT18" s="119">
        <v>138416.66666666666</v>
      </c>
      <c r="CU18" s="129">
        <v>138416.66666666666</v>
      </c>
      <c r="CV18" s="102">
        <f t="shared" si="3"/>
        <v>12872749.999999987</v>
      </c>
    </row>
    <row r="19" spans="1:100" s="101" customFormat="1" ht="11.25" x14ac:dyDescent="0.2">
      <c r="B19" s="41" t="s">
        <v>94</v>
      </c>
      <c r="C19" s="194"/>
      <c r="D19" s="142"/>
      <c r="E19" s="119"/>
      <c r="F19" s="211"/>
      <c r="G19" s="119">
        <f>+'1.1) Desagregado Trimestral'!$D$15/3</f>
        <v>975000</v>
      </c>
      <c r="H19" s="119">
        <f>+'1.1) Desagregado Trimestral'!$D$15/3</f>
        <v>975000</v>
      </c>
      <c r="I19" s="119">
        <f>+'1.1) Desagregado Trimestral'!$D$15/3</f>
        <v>975000</v>
      </c>
      <c r="J19" s="119">
        <f>+'1.1) Desagregado Trimestral'!$D$15/3</f>
        <v>975000</v>
      </c>
      <c r="K19" s="119">
        <f>+'1.1) Desagregado Trimestral'!$D$15/3</f>
        <v>975000</v>
      </c>
      <c r="L19" s="119">
        <f>+'1.1) Desagregado Trimestral'!$D$15/3</f>
        <v>975000</v>
      </c>
      <c r="M19" s="119">
        <f>+'1.1) Desagregado Trimestral'!$D$15/3</f>
        <v>975000</v>
      </c>
      <c r="N19" s="119">
        <f>+'1.1) Desagregado Trimestral'!$D$15/3</f>
        <v>975000</v>
      </c>
      <c r="O19" s="129">
        <f>+'1.1) Desagregado Trimestral'!$D$15/3</f>
        <v>975000</v>
      </c>
      <c r="P19" s="142">
        <f>+'1.1) Desagregado Trimestral'!$D$15/3</f>
        <v>975000</v>
      </c>
      <c r="Q19" s="119">
        <f>+'1.1) Desagregado Trimestral'!$D$15/3</f>
        <v>975000</v>
      </c>
      <c r="R19" s="119">
        <f>+'1.1) Desagregado Trimestral'!$D$15/3</f>
        <v>975000</v>
      </c>
      <c r="S19" s="119">
        <f>+'1.1) Desagregado Trimestral'!$D$15/3</f>
        <v>975000</v>
      </c>
      <c r="T19" s="119">
        <f>+'1.1) Desagregado Trimestral'!$D$15/3</f>
        <v>975000</v>
      </c>
      <c r="U19" s="119">
        <f>+'1.1) Desagregado Trimestral'!$D$15/3</f>
        <v>975000</v>
      </c>
      <c r="V19" s="119">
        <f>+'1.1) Desagregado Trimestral'!$D$15/3</f>
        <v>975000</v>
      </c>
      <c r="W19" s="119">
        <f>+'1.1) Desagregado Trimestral'!$D$15/3</f>
        <v>975000</v>
      </c>
      <c r="X19" s="119">
        <f>+'1.1) Desagregado Trimestral'!$D$15/3</f>
        <v>975000</v>
      </c>
      <c r="Y19" s="119">
        <f>+'1.1) Desagregado Trimestral'!$D$15/3</f>
        <v>975000</v>
      </c>
      <c r="Z19" s="119">
        <f>+'1.1) Desagregado Trimestral'!$D$15/3</f>
        <v>975000</v>
      </c>
      <c r="AA19" s="129">
        <f>+'1.1) Desagregado Trimestral'!$D$15/3</f>
        <v>975000</v>
      </c>
      <c r="AB19" s="129">
        <f>+'1.1) Desagregado Trimestral'!$D$15/3</f>
        <v>975000</v>
      </c>
      <c r="AC19" s="129">
        <f>+'1.1) Desagregado Trimestral'!$D$15/3</f>
        <v>975000</v>
      </c>
      <c r="AD19" s="129">
        <f>+'1.1) Desagregado Trimestral'!$D$15/3</f>
        <v>975000</v>
      </c>
      <c r="AE19" s="129">
        <f>+'1.1) Desagregado Trimestral'!$D$15/3</f>
        <v>975000</v>
      </c>
      <c r="AF19" s="129">
        <f>+'1.1) Desagregado Trimestral'!$D$15/3</f>
        <v>975000</v>
      </c>
      <c r="AG19" s="129">
        <f>+'1.1) Desagregado Trimestral'!$D$15/3</f>
        <v>975000</v>
      </c>
      <c r="AH19" s="129">
        <f>+'1.1) Desagregado Trimestral'!$D$15/3</f>
        <v>975000</v>
      </c>
      <c r="AI19" s="129">
        <f>+'1.1) Desagregado Trimestral'!$D$15/3</f>
        <v>975000</v>
      </c>
      <c r="AJ19" s="129">
        <f>+'1.1) Desagregado Trimestral'!$D$15/3</f>
        <v>975000</v>
      </c>
      <c r="AK19" s="129">
        <f>+'1.1) Desagregado Trimestral'!$D$15/3</f>
        <v>975000</v>
      </c>
      <c r="AL19" s="129">
        <f>+'1.1) Desagregado Trimestral'!$D$15/3</f>
        <v>975000</v>
      </c>
      <c r="AM19" s="129">
        <f>+'1.1) Desagregado Trimestral'!$D$15/3</f>
        <v>975000</v>
      </c>
      <c r="AN19" s="129">
        <f>+'1.1) Desagregado Trimestral'!$D$15/3</f>
        <v>975000</v>
      </c>
      <c r="AO19" s="129">
        <f>+'1.1) Desagregado Trimestral'!$D$15/3</f>
        <v>975000</v>
      </c>
      <c r="AP19" s="129">
        <f>+'1.1) Desagregado Trimestral'!$D$15/3</f>
        <v>975000</v>
      </c>
      <c r="AQ19" s="129">
        <f>+'1.1) Desagregado Trimestral'!$D$15/3</f>
        <v>975000</v>
      </c>
      <c r="AR19" s="129">
        <f>+'1.1) Desagregado Trimestral'!$D$15/3</f>
        <v>975000</v>
      </c>
      <c r="AS19" s="129">
        <f>+'1.1) Desagregado Trimestral'!$D$15/3</f>
        <v>975000</v>
      </c>
      <c r="AT19" s="129">
        <f>+'1.1) Desagregado Trimestral'!$D$15/3</f>
        <v>975000</v>
      </c>
      <c r="AU19" s="129">
        <f>+'1.1) Desagregado Trimestral'!$D$15/3</f>
        <v>975000</v>
      </c>
      <c r="AV19" s="129">
        <f>+'1.1) Desagregado Trimestral'!$D$15/3</f>
        <v>975000</v>
      </c>
      <c r="AW19" s="129">
        <f>+'1.1) Desagregado Trimestral'!$D$15/3</f>
        <v>975000</v>
      </c>
      <c r="AX19" s="129">
        <f>+'1.1) Desagregado Trimestral'!$D$15/3</f>
        <v>975000</v>
      </c>
      <c r="AY19" s="129">
        <f>+'1.1) Desagregado Trimestral'!$D$15/3</f>
        <v>975000</v>
      </c>
      <c r="AZ19" s="129">
        <f>+'1.1) Desagregado Trimestral'!$D$15/3</f>
        <v>975000</v>
      </c>
      <c r="BA19" s="129">
        <f>+'1.1) Desagregado Trimestral'!$D$15/3</f>
        <v>975000</v>
      </c>
      <c r="BB19" s="129">
        <f>+'1.1) Desagregado Trimestral'!$D$15/3</f>
        <v>975000</v>
      </c>
      <c r="BC19" s="129">
        <f>+'1.1) Desagregado Trimestral'!$D$15/3</f>
        <v>975000</v>
      </c>
      <c r="BD19" s="129">
        <f>+'1.1) Desagregado Trimestral'!$D$15/3</f>
        <v>975000</v>
      </c>
      <c r="BE19" s="129">
        <f>+'1.1) Desagregado Trimestral'!$D$15/3</f>
        <v>975000</v>
      </c>
      <c r="BF19" s="129">
        <f>+'1.1) Desagregado Trimestral'!$D$15/3</f>
        <v>975000</v>
      </c>
      <c r="BG19" s="129">
        <f>+'1.1) Desagregado Trimestral'!$D$15/3</f>
        <v>975000</v>
      </c>
      <c r="BH19" s="129">
        <f>+'1.1) Desagregado Trimestral'!$D$15/3</f>
        <v>975000</v>
      </c>
      <c r="BI19" s="129">
        <f>+'1.1) Desagregado Trimestral'!$D$15/3</f>
        <v>975000</v>
      </c>
      <c r="BJ19" s="129">
        <f>+'1.1) Desagregado Trimestral'!$D$15/3</f>
        <v>975000</v>
      </c>
      <c r="BK19" s="129">
        <f>+'1.1) Desagregado Trimestral'!$D$15/3</f>
        <v>975000</v>
      </c>
      <c r="BL19" s="129">
        <f>+'1.1) Desagregado Trimestral'!$D$15/3</f>
        <v>975000</v>
      </c>
      <c r="BM19" s="129">
        <f>+'1.1) Desagregado Trimestral'!$D$15/3</f>
        <v>975000</v>
      </c>
      <c r="BN19" s="129">
        <f>+'1.1) Desagregado Trimestral'!$D$15/3</f>
        <v>975000</v>
      </c>
      <c r="BO19" s="129">
        <f>+'1.1) Desagregado Trimestral'!$D$15/3</f>
        <v>975000</v>
      </c>
      <c r="BP19" s="129">
        <f>+'1.1) Desagregado Trimestral'!$D$15/3</f>
        <v>975000</v>
      </c>
      <c r="BQ19" s="129">
        <f>+'1.1) Desagregado Trimestral'!$D$15/3</f>
        <v>975000</v>
      </c>
      <c r="BR19" s="129">
        <f>+'1.1) Desagregado Trimestral'!$D$15/3</f>
        <v>975000</v>
      </c>
      <c r="BS19" s="129">
        <f>+'1.1) Desagregado Trimestral'!$D$15/3</f>
        <v>975000</v>
      </c>
      <c r="BT19" s="129">
        <f>+'1.1) Desagregado Trimestral'!$D$15/3</f>
        <v>975000</v>
      </c>
      <c r="BU19" s="129">
        <f>+'1.1) Desagregado Trimestral'!$D$15/3</f>
        <v>975000</v>
      </c>
      <c r="BV19" s="129">
        <f>+'1.1) Desagregado Trimestral'!$D$15/3</f>
        <v>975000</v>
      </c>
      <c r="BW19" s="129">
        <f>+'1.1) Desagregado Trimestral'!$D$15/3</f>
        <v>975000</v>
      </c>
      <c r="BX19" s="129">
        <f>+'1.1) Desagregado Trimestral'!$D$15/3</f>
        <v>975000</v>
      </c>
      <c r="BY19" s="129">
        <f>+'1.1) Desagregado Trimestral'!$D$15/3</f>
        <v>975000</v>
      </c>
      <c r="BZ19" s="129">
        <f>+'1.1) Desagregado Trimestral'!$D$15/3</f>
        <v>975000</v>
      </c>
      <c r="CA19" s="129">
        <f>+'1.1) Desagregado Trimestral'!$D$15/3</f>
        <v>975000</v>
      </c>
      <c r="CB19" s="129">
        <f>+'1.1) Desagregado Trimestral'!$D$15/3</f>
        <v>975000</v>
      </c>
      <c r="CC19" s="129">
        <f>+'1.1) Desagregado Trimestral'!$D$15/3</f>
        <v>975000</v>
      </c>
      <c r="CD19" s="129">
        <f>+'1.1) Desagregado Trimestral'!$D$15/3</f>
        <v>975000</v>
      </c>
      <c r="CE19" s="129">
        <f>+'1.1) Desagregado Trimestral'!$D$15/3</f>
        <v>975000</v>
      </c>
      <c r="CF19" s="129">
        <f>+'1.1) Desagregado Trimestral'!$D$15/3</f>
        <v>975000</v>
      </c>
      <c r="CG19" s="129">
        <f>+'1.1) Desagregado Trimestral'!$D$15/3</f>
        <v>975000</v>
      </c>
      <c r="CH19" s="129">
        <f>+'1.1) Desagregado Trimestral'!$D$15/3</f>
        <v>975000</v>
      </c>
      <c r="CI19" s="129">
        <f>+'1.1) Desagregado Trimestral'!$D$15/3</f>
        <v>975000</v>
      </c>
      <c r="CJ19" s="129">
        <f>+'1.1) Desagregado Trimestral'!$D$15/3</f>
        <v>975000</v>
      </c>
      <c r="CK19" s="129">
        <f>+'1.1) Desagregado Trimestral'!$D$15/3</f>
        <v>975000</v>
      </c>
      <c r="CL19" s="129">
        <f>+'1.1) Desagregado Trimestral'!$D$15/3</f>
        <v>975000</v>
      </c>
      <c r="CM19" s="129">
        <f>+'1.1) Desagregado Trimestral'!$D$15/3</f>
        <v>975000</v>
      </c>
      <c r="CN19" s="129">
        <f>+'1.1) Desagregado Trimestral'!$D$15/3</f>
        <v>975000</v>
      </c>
      <c r="CO19" s="129">
        <f>+'1.1) Desagregado Trimestral'!$D$15/3</f>
        <v>975000</v>
      </c>
      <c r="CP19" s="129">
        <f>+'1.1) Desagregado Trimestral'!$D$15/3</f>
        <v>975000</v>
      </c>
      <c r="CQ19" s="129">
        <f>+'1.1) Desagregado Trimestral'!$D$15/3</f>
        <v>975000</v>
      </c>
      <c r="CR19" s="129">
        <f>+'1.1) Desagregado Trimestral'!$D$15/3</f>
        <v>975000</v>
      </c>
      <c r="CS19" s="129">
        <f>+'1.1) Desagregado Trimestral'!$D$15/3</f>
        <v>975000</v>
      </c>
      <c r="CT19" s="129">
        <f>+'1.1) Desagregado Trimestral'!$D$15/3</f>
        <v>975000</v>
      </c>
      <c r="CU19" s="129">
        <f>+'1.1) Desagregado Trimestral'!$D$15/3</f>
        <v>975000</v>
      </c>
      <c r="CV19" s="102">
        <f t="shared" si="3"/>
        <v>90675000</v>
      </c>
    </row>
    <row r="20" spans="1:100" s="101" customFormat="1" ht="11.25" x14ac:dyDescent="0.2">
      <c r="A20" s="79">
        <v>0.02</v>
      </c>
      <c r="B20" s="41" t="s">
        <v>76</v>
      </c>
      <c r="D20" s="145"/>
      <c r="E20" s="48"/>
      <c r="F20" s="200">
        <f>+$CV$16*$A$20/2</f>
        <v>5420778.8081870209</v>
      </c>
      <c r="G20" s="48"/>
      <c r="H20" s="48"/>
      <c r="I20" s="48"/>
      <c r="J20" s="48"/>
      <c r="K20" s="48"/>
      <c r="L20" s="48"/>
      <c r="M20" s="48"/>
      <c r="N20" s="48"/>
      <c r="O20" s="131"/>
      <c r="P20" s="145"/>
      <c r="Q20" s="48"/>
      <c r="R20" s="48"/>
      <c r="S20" s="48"/>
      <c r="T20" s="48"/>
      <c r="U20" s="48"/>
      <c r="V20" s="189">
        <f>+$CV$16*$A$20/2</f>
        <v>5420778.8081870209</v>
      </c>
      <c r="W20" s="48"/>
      <c r="X20" s="48"/>
      <c r="Y20" s="48"/>
      <c r="Z20" s="48"/>
      <c r="AA20" s="131"/>
      <c r="AB20" s="145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131"/>
      <c r="AN20" s="145"/>
      <c r="AO20" s="48"/>
      <c r="AP20" s="48"/>
      <c r="AQ20" s="48"/>
      <c r="AR20" s="48"/>
      <c r="AS20" s="189"/>
      <c r="AT20" s="48"/>
      <c r="AU20" s="48"/>
      <c r="AV20" s="48"/>
      <c r="AW20" s="48"/>
      <c r="AX20" s="48"/>
      <c r="AY20" s="131"/>
      <c r="AZ20" s="145"/>
      <c r="BA20" s="48"/>
      <c r="BB20" s="48"/>
      <c r="BC20" s="48"/>
      <c r="BD20" s="48"/>
      <c r="BE20" s="48"/>
      <c r="BF20" s="48"/>
      <c r="BG20" s="48"/>
      <c r="BH20" s="48"/>
      <c r="BI20" s="189"/>
      <c r="BJ20" s="48"/>
      <c r="BK20" s="131"/>
      <c r="BL20" s="145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131"/>
      <c r="BX20" s="145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131"/>
      <c r="CJ20" s="145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131"/>
      <c r="CV20" s="102">
        <f>+SUM(D20:CU20)</f>
        <v>10841557.616374042</v>
      </c>
    </row>
    <row r="21" spans="1:100" s="101" customFormat="1" ht="11.25" x14ac:dyDescent="0.2">
      <c r="A21" s="79">
        <f>0.05*1.16</f>
        <v>5.7999999999999996E-2</v>
      </c>
      <c r="B21" s="41" t="s">
        <v>77</v>
      </c>
      <c r="C21" s="194"/>
      <c r="D21" s="145">
        <f t="shared" ref="D21:AI21" si="17">+D6*$A$21</f>
        <v>0</v>
      </c>
      <c r="E21" s="48">
        <f t="shared" si="17"/>
        <v>0</v>
      </c>
      <c r="F21" s="212">
        <f t="shared" si="17"/>
        <v>0</v>
      </c>
      <c r="G21" s="48">
        <f t="shared" si="17"/>
        <v>760693.34777465847</v>
      </c>
      <c r="H21" s="48">
        <f t="shared" si="17"/>
        <v>760693.34777465847</v>
      </c>
      <c r="I21" s="48">
        <f t="shared" si="17"/>
        <v>760693.34777465847</v>
      </c>
      <c r="J21" s="48">
        <f t="shared" si="17"/>
        <v>760693.34777465847</v>
      </c>
      <c r="K21" s="48">
        <f t="shared" si="17"/>
        <v>760693.34777465847</v>
      </c>
      <c r="L21" s="48">
        <f t="shared" si="17"/>
        <v>760693.34777465847</v>
      </c>
      <c r="M21" s="48">
        <f t="shared" si="17"/>
        <v>760693.34777465847</v>
      </c>
      <c r="N21" s="48">
        <f t="shared" si="17"/>
        <v>760693.34777465847</v>
      </c>
      <c r="O21" s="131">
        <f t="shared" si="17"/>
        <v>760693.34777465847</v>
      </c>
      <c r="P21" s="145">
        <f t="shared" si="17"/>
        <v>760693.34777465847</v>
      </c>
      <c r="Q21" s="48">
        <f t="shared" si="17"/>
        <v>760693.34777465847</v>
      </c>
      <c r="R21" s="48">
        <f t="shared" si="17"/>
        <v>760693.34777465847</v>
      </c>
      <c r="S21" s="48">
        <f t="shared" si="17"/>
        <v>760693.34777465847</v>
      </c>
      <c r="T21" s="48">
        <f t="shared" si="17"/>
        <v>760693.34777465847</v>
      </c>
      <c r="U21" s="48">
        <f t="shared" si="17"/>
        <v>760693.34777465847</v>
      </c>
      <c r="V21" s="48">
        <f t="shared" si="17"/>
        <v>760693.34777465847</v>
      </c>
      <c r="W21" s="48">
        <f t="shared" si="17"/>
        <v>760693.34777465847</v>
      </c>
      <c r="X21" s="48">
        <f t="shared" si="17"/>
        <v>760693.34777465847</v>
      </c>
      <c r="Y21" s="48">
        <f t="shared" si="17"/>
        <v>760693.34777465847</v>
      </c>
      <c r="Z21" s="48">
        <f t="shared" si="17"/>
        <v>760693.34777465847</v>
      </c>
      <c r="AA21" s="131">
        <f t="shared" si="17"/>
        <v>8749455.8761888482</v>
      </c>
      <c r="AB21" s="145">
        <f t="shared" si="17"/>
        <v>0</v>
      </c>
      <c r="AC21" s="48">
        <f t="shared" si="17"/>
        <v>0</v>
      </c>
      <c r="AD21" s="48">
        <f t="shared" si="17"/>
        <v>0</v>
      </c>
      <c r="AE21" s="48">
        <f t="shared" si="17"/>
        <v>760693.34777465847</v>
      </c>
      <c r="AF21" s="48">
        <f t="shared" si="17"/>
        <v>760693.34777465847</v>
      </c>
      <c r="AG21" s="48">
        <f t="shared" si="17"/>
        <v>760693.34777465847</v>
      </c>
      <c r="AH21" s="48">
        <f t="shared" si="17"/>
        <v>760693.34777465847</v>
      </c>
      <c r="AI21" s="48">
        <f t="shared" si="17"/>
        <v>760693.34777465847</v>
      </c>
      <c r="AJ21" s="48">
        <f t="shared" ref="AJ21:BO21" si="18">+AJ6*$A$21</f>
        <v>760693.34777465847</v>
      </c>
      <c r="AK21" s="48">
        <f t="shared" si="18"/>
        <v>760693.34777465847</v>
      </c>
      <c r="AL21" s="48">
        <f t="shared" si="18"/>
        <v>760693.34777465847</v>
      </c>
      <c r="AM21" s="131">
        <f t="shared" si="18"/>
        <v>760693.34777465847</v>
      </c>
      <c r="AN21" s="145">
        <f t="shared" si="18"/>
        <v>760693.34777465847</v>
      </c>
      <c r="AO21" s="48">
        <f t="shared" si="18"/>
        <v>760693.34777465847</v>
      </c>
      <c r="AP21" s="48">
        <f t="shared" si="18"/>
        <v>760693.34777465847</v>
      </c>
      <c r="AQ21" s="48">
        <f t="shared" si="18"/>
        <v>760693.34777465847</v>
      </c>
      <c r="AR21" s="48">
        <f t="shared" si="18"/>
        <v>760693.34777465847</v>
      </c>
      <c r="AS21" s="48">
        <f t="shared" si="18"/>
        <v>760693.34777465847</v>
      </c>
      <c r="AT21" s="48">
        <f t="shared" si="18"/>
        <v>760693.34777465847</v>
      </c>
      <c r="AU21" s="48">
        <f t="shared" si="18"/>
        <v>760693.34777465847</v>
      </c>
      <c r="AV21" s="48">
        <f t="shared" si="18"/>
        <v>760693.34777465847</v>
      </c>
      <c r="AW21" s="48">
        <f t="shared" si="18"/>
        <v>760693.34777465847</v>
      </c>
      <c r="AX21" s="48">
        <f t="shared" si="18"/>
        <v>760693.34777465847</v>
      </c>
      <c r="AY21" s="131">
        <f t="shared" si="18"/>
        <v>8749455.8761888482</v>
      </c>
      <c r="AZ21" s="145">
        <f t="shared" si="18"/>
        <v>0</v>
      </c>
      <c r="BA21" s="48">
        <f t="shared" si="18"/>
        <v>0</v>
      </c>
      <c r="BB21" s="48">
        <f t="shared" si="18"/>
        <v>0</v>
      </c>
      <c r="BC21" s="48">
        <f t="shared" si="18"/>
        <v>760693.34777465847</v>
      </c>
      <c r="BD21" s="48">
        <f t="shared" si="18"/>
        <v>760693.34777465847</v>
      </c>
      <c r="BE21" s="48">
        <f t="shared" si="18"/>
        <v>760693.34777465847</v>
      </c>
      <c r="BF21" s="48">
        <f t="shared" si="18"/>
        <v>760693.34777465847</v>
      </c>
      <c r="BG21" s="48">
        <f t="shared" si="18"/>
        <v>760693.34777465847</v>
      </c>
      <c r="BH21" s="48">
        <f t="shared" si="18"/>
        <v>760693.34777465847</v>
      </c>
      <c r="BI21" s="48">
        <f t="shared" si="18"/>
        <v>760693.34777465847</v>
      </c>
      <c r="BJ21" s="48">
        <f t="shared" si="18"/>
        <v>760693.34777465847</v>
      </c>
      <c r="BK21" s="131">
        <f t="shared" si="18"/>
        <v>760693.34777465847</v>
      </c>
      <c r="BL21" s="145">
        <f t="shared" si="18"/>
        <v>760693.34777465847</v>
      </c>
      <c r="BM21" s="48">
        <f t="shared" si="18"/>
        <v>760693.34777465847</v>
      </c>
      <c r="BN21" s="48">
        <f t="shared" si="18"/>
        <v>760693.34777465847</v>
      </c>
      <c r="BO21" s="48">
        <f t="shared" si="18"/>
        <v>760693.34777465847</v>
      </c>
      <c r="BP21" s="48">
        <f t="shared" ref="BP21:CU21" si="19">+BP6*$A$21</f>
        <v>760693.34777465847</v>
      </c>
      <c r="BQ21" s="48">
        <f t="shared" si="19"/>
        <v>760693.34777465847</v>
      </c>
      <c r="BR21" s="48">
        <f t="shared" si="19"/>
        <v>760693.34777465847</v>
      </c>
      <c r="BS21" s="48">
        <f t="shared" si="19"/>
        <v>760693.34777465847</v>
      </c>
      <c r="BT21" s="48">
        <f t="shared" si="19"/>
        <v>760693.34777465847</v>
      </c>
      <c r="BU21" s="48">
        <f t="shared" si="19"/>
        <v>760693.34777465847</v>
      </c>
      <c r="BV21" s="48">
        <f t="shared" si="19"/>
        <v>760693.34777465847</v>
      </c>
      <c r="BW21" s="131">
        <f t="shared" si="19"/>
        <v>8749455.8761888482</v>
      </c>
      <c r="BX21" s="145">
        <f t="shared" si="19"/>
        <v>0</v>
      </c>
      <c r="BY21" s="48">
        <f t="shared" si="19"/>
        <v>0</v>
      </c>
      <c r="BZ21" s="48">
        <f t="shared" si="19"/>
        <v>0</v>
      </c>
      <c r="CA21" s="48">
        <f t="shared" si="19"/>
        <v>760693.34777465847</v>
      </c>
      <c r="CB21" s="48">
        <f t="shared" si="19"/>
        <v>760693.34777465847</v>
      </c>
      <c r="CC21" s="48">
        <f t="shared" si="19"/>
        <v>760693.34777465847</v>
      </c>
      <c r="CD21" s="48">
        <f t="shared" si="19"/>
        <v>760693.34777465847</v>
      </c>
      <c r="CE21" s="48">
        <f t="shared" si="19"/>
        <v>760693.34777465847</v>
      </c>
      <c r="CF21" s="48">
        <f t="shared" si="19"/>
        <v>760693.34777465847</v>
      </c>
      <c r="CG21" s="48">
        <f t="shared" si="19"/>
        <v>760693.34777465847</v>
      </c>
      <c r="CH21" s="48">
        <f t="shared" si="19"/>
        <v>760693.34777465847</v>
      </c>
      <c r="CI21" s="131">
        <f t="shared" si="19"/>
        <v>760693.34777465847</v>
      </c>
      <c r="CJ21" s="145">
        <f t="shared" si="19"/>
        <v>760693.34777465847</v>
      </c>
      <c r="CK21" s="48">
        <f t="shared" si="19"/>
        <v>760693.34777465847</v>
      </c>
      <c r="CL21" s="48">
        <f t="shared" si="19"/>
        <v>760693.34777465847</v>
      </c>
      <c r="CM21" s="48">
        <f t="shared" si="19"/>
        <v>760693.34777465847</v>
      </c>
      <c r="CN21" s="48">
        <f t="shared" si="19"/>
        <v>760693.34777465847</v>
      </c>
      <c r="CO21" s="48">
        <f t="shared" si="19"/>
        <v>760693.34777465847</v>
      </c>
      <c r="CP21" s="48">
        <f t="shared" si="19"/>
        <v>760693.34777465847</v>
      </c>
      <c r="CQ21" s="48">
        <f t="shared" si="19"/>
        <v>760693.34777465847</v>
      </c>
      <c r="CR21" s="48">
        <f t="shared" si="19"/>
        <v>760693.34777465847</v>
      </c>
      <c r="CS21" s="48">
        <f t="shared" si="19"/>
        <v>760693.34777465847</v>
      </c>
      <c r="CT21" s="48">
        <f t="shared" si="19"/>
        <v>760693.34777465847</v>
      </c>
      <c r="CU21" s="131">
        <f t="shared" si="19"/>
        <v>8749455.8761888482</v>
      </c>
      <c r="CV21" s="102">
        <f t="shared" si="3"/>
        <v>95853291.326728091</v>
      </c>
    </row>
    <row r="22" spans="1:100" s="101" customFormat="1" ht="11.25" x14ac:dyDescent="0.2">
      <c r="A22" s="79">
        <v>5.8000000000000003E-2</v>
      </c>
      <c r="B22" s="41" t="s">
        <v>78</v>
      </c>
      <c r="D22" s="145"/>
      <c r="E22" s="48"/>
      <c r="F22" s="212"/>
      <c r="G22" s="200">
        <f>+$CV$16*$A$22</f>
        <v>31440517.087484725</v>
      </c>
      <c r="H22" s="48"/>
      <c r="I22" s="48"/>
      <c r="J22" s="48"/>
      <c r="K22" s="48"/>
      <c r="L22" s="48"/>
      <c r="M22" s="48"/>
      <c r="N22" s="48"/>
      <c r="O22" s="131"/>
      <c r="P22" s="145"/>
      <c r="Q22" s="48"/>
      <c r="R22" s="48"/>
      <c r="S22" s="48"/>
      <c r="T22" s="48"/>
      <c r="U22" s="48"/>
      <c r="V22" s="189"/>
      <c r="W22" s="48"/>
      <c r="X22" s="48"/>
      <c r="Y22" s="48"/>
      <c r="Z22" s="48"/>
      <c r="AA22" s="131"/>
      <c r="AB22" s="145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131"/>
      <c r="AN22" s="145"/>
      <c r="AO22" s="48"/>
      <c r="AP22" s="48"/>
      <c r="AQ22" s="48"/>
      <c r="AR22" s="48"/>
      <c r="AS22" s="189"/>
      <c r="AT22" s="48"/>
      <c r="AU22" s="48"/>
      <c r="AV22" s="48"/>
      <c r="AW22" s="48"/>
      <c r="AX22" s="48"/>
      <c r="AY22" s="131"/>
      <c r="AZ22" s="145"/>
      <c r="BA22" s="48"/>
      <c r="BB22" s="48"/>
      <c r="BC22" s="48"/>
      <c r="BD22" s="48"/>
      <c r="BE22" s="48"/>
      <c r="BF22" s="48"/>
      <c r="BG22" s="48"/>
      <c r="BH22" s="48"/>
      <c r="BI22" s="189"/>
      <c r="BJ22" s="48"/>
      <c r="BK22" s="131"/>
      <c r="BL22" s="145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131"/>
      <c r="BX22" s="145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131"/>
      <c r="CJ22" s="145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131"/>
      <c r="CV22" s="102">
        <f>+SUM(D22:CU22)</f>
        <v>31440517.087484725</v>
      </c>
    </row>
    <row r="23" spans="1:100" s="101" customFormat="1" ht="11.25" x14ac:dyDescent="0.2">
      <c r="A23" s="79">
        <v>0.20300000000000001</v>
      </c>
      <c r="B23" s="41" t="s">
        <v>79</v>
      </c>
      <c r="C23" s="194"/>
      <c r="D23" s="145">
        <f>D16*$A$23</f>
        <v>0</v>
      </c>
      <c r="E23" s="48">
        <f t="shared" ref="E23:AA23" si="20">E16*$A$23</f>
        <v>0</v>
      </c>
      <c r="F23" s="212">
        <f t="shared" si="20"/>
        <v>0</v>
      </c>
      <c r="G23" s="48">
        <f t="shared" si="20"/>
        <v>1330182.0752678269</v>
      </c>
      <c r="H23" s="48">
        <f t="shared" si="20"/>
        <v>1330182.0752678269</v>
      </c>
      <c r="I23" s="48">
        <f t="shared" si="20"/>
        <v>1330182.0752678269</v>
      </c>
      <c r="J23" s="48">
        <f t="shared" si="20"/>
        <v>1330182.0752678269</v>
      </c>
      <c r="K23" s="48">
        <f t="shared" si="20"/>
        <v>1330182.0752678269</v>
      </c>
      <c r="L23" s="48">
        <f t="shared" si="20"/>
        <v>1330182.0752678269</v>
      </c>
      <c r="M23" s="48">
        <f t="shared" si="20"/>
        <v>1330182.0752678269</v>
      </c>
      <c r="N23" s="48">
        <f t="shared" si="20"/>
        <v>1330182.0752678269</v>
      </c>
      <c r="O23" s="131">
        <f t="shared" si="20"/>
        <v>1330182.0752678269</v>
      </c>
      <c r="P23" s="145">
        <f t="shared" si="20"/>
        <v>1045492.0087321732</v>
      </c>
      <c r="Q23" s="48">
        <f t="shared" si="20"/>
        <v>1045492.0087321732</v>
      </c>
      <c r="R23" s="48">
        <f t="shared" si="20"/>
        <v>1045492.0087321732</v>
      </c>
      <c r="S23" s="48">
        <f t="shared" si="20"/>
        <v>1045492.0087321732</v>
      </c>
      <c r="T23" s="48">
        <f t="shared" si="20"/>
        <v>1045492.0087321732</v>
      </c>
      <c r="U23" s="48">
        <f t="shared" si="20"/>
        <v>1045492.0087321732</v>
      </c>
      <c r="V23" s="48">
        <f t="shared" si="20"/>
        <v>1045492.0087321732</v>
      </c>
      <c r="W23" s="48">
        <f t="shared" si="20"/>
        <v>1045492.0087321732</v>
      </c>
      <c r="X23" s="48">
        <f t="shared" si="20"/>
        <v>1045492.0087321732</v>
      </c>
      <c r="Y23" s="48">
        <f t="shared" si="20"/>
        <v>1045492.0087321732</v>
      </c>
      <c r="Z23" s="48">
        <f t="shared" si="20"/>
        <v>1045492.0087321732</v>
      </c>
      <c r="AA23" s="131">
        <f t="shared" si="20"/>
        <v>1045492.0087321732</v>
      </c>
      <c r="AB23" s="145">
        <f>AB16*$A$23</f>
        <v>1330182.0752678269</v>
      </c>
      <c r="AC23" s="48">
        <f t="shared" ref="AC23:AM23" si="21">AC16*$A$23</f>
        <v>1330182.0752678269</v>
      </c>
      <c r="AD23" s="48">
        <f t="shared" si="21"/>
        <v>1330182.0752678269</v>
      </c>
      <c r="AE23" s="48">
        <f t="shared" si="21"/>
        <v>1330182.0752678269</v>
      </c>
      <c r="AF23" s="48">
        <f t="shared" si="21"/>
        <v>1330182.0752678269</v>
      </c>
      <c r="AG23" s="48">
        <f t="shared" si="21"/>
        <v>1330182.0752678269</v>
      </c>
      <c r="AH23" s="48">
        <f t="shared" si="21"/>
        <v>1330182.0752678269</v>
      </c>
      <c r="AI23" s="48">
        <f t="shared" si="21"/>
        <v>1330182.0752678269</v>
      </c>
      <c r="AJ23" s="48">
        <f t="shared" si="21"/>
        <v>1330182.0752678269</v>
      </c>
      <c r="AK23" s="48">
        <f t="shared" si="21"/>
        <v>1330182.0752678269</v>
      </c>
      <c r="AL23" s="48">
        <f t="shared" si="21"/>
        <v>1330182.0752678269</v>
      </c>
      <c r="AM23" s="131">
        <f t="shared" si="21"/>
        <v>1330182.0752678269</v>
      </c>
      <c r="AN23" s="145">
        <f>AN16*$A$23</f>
        <v>1045492.0087321732</v>
      </c>
      <c r="AO23" s="48">
        <f t="shared" ref="AO23:AY23" si="22">AO16*$A$23</f>
        <v>1045492.0087321732</v>
      </c>
      <c r="AP23" s="48">
        <f t="shared" si="22"/>
        <v>1045492.0087321732</v>
      </c>
      <c r="AQ23" s="48">
        <f t="shared" si="22"/>
        <v>1045492.0087321732</v>
      </c>
      <c r="AR23" s="48">
        <f t="shared" si="22"/>
        <v>1045492.0087321732</v>
      </c>
      <c r="AS23" s="48">
        <f t="shared" si="22"/>
        <v>1045492.0087321732</v>
      </c>
      <c r="AT23" s="48">
        <f t="shared" si="22"/>
        <v>1045492.0087321732</v>
      </c>
      <c r="AU23" s="48">
        <f t="shared" si="22"/>
        <v>1045492.0087321732</v>
      </c>
      <c r="AV23" s="48">
        <f t="shared" si="22"/>
        <v>1045492.0087321732</v>
      </c>
      <c r="AW23" s="48">
        <f t="shared" si="22"/>
        <v>1045492.0087321732</v>
      </c>
      <c r="AX23" s="48">
        <f t="shared" si="22"/>
        <v>1045492.0087321732</v>
      </c>
      <c r="AY23" s="131">
        <f t="shared" si="22"/>
        <v>1045492.0087321732</v>
      </c>
      <c r="AZ23" s="145">
        <f>AZ16*$A$23</f>
        <v>1330182.0752678269</v>
      </c>
      <c r="BA23" s="48">
        <f t="shared" ref="BA23:BK23" si="23">BA16*$A$23</f>
        <v>1330182.0752678269</v>
      </c>
      <c r="BB23" s="48">
        <f t="shared" si="23"/>
        <v>1330182.0752678269</v>
      </c>
      <c r="BC23" s="48">
        <f t="shared" si="23"/>
        <v>1330182.0752678269</v>
      </c>
      <c r="BD23" s="48">
        <f t="shared" si="23"/>
        <v>1330182.0752678269</v>
      </c>
      <c r="BE23" s="48">
        <f t="shared" si="23"/>
        <v>1330182.0752678269</v>
      </c>
      <c r="BF23" s="48">
        <f t="shared" si="23"/>
        <v>1330182.0752678269</v>
      </c>
      <c r="BG23" s="48">
        <f t="shared" si="23"/>
        <v>1330182.0752678269</v>
      </c>
      <c r="BH23" s="48">
        <f t="shared" si="23"/>
        <v>1330182.0752678269</v>
      </c>
      <c r="BI23" s="48">
        <f t="shared" si="23"/>
        <v>1330182.0752678269</v>
      </c>
      <c r="BJ23" s="48">
        <f t="shared" si="23"/>
        <v>1330182.0752678269</v>
      </c>
      <c r="BK23" s="131">
        <f t="shared" si="23"/>
        <v>1330182.0752678269</v>
      </c>
      <c r="BL23" s="145">
        <f>BL16*$A$23</f>
        <v>1045492.0087321732</v>
      </c>
      <c r="BM23" s="48">
        <f t="shared" ref="BM23:BW23" si="24">BM16*$A$23</f>
        <v>1045492.0087321732</v>
      </c>
      <c r="BN23" s="48">
        <f t="shared" si="24"/>
        <v>1045492.0087321732</v>
      </c>
      <c r="BO23" s="48">
        <f t="shared" si="24"/>
        <v>1045492.0087321732</v>
      </c>
      <c r="BP23" s="48">
        <f t="shared" si="24"/>
        <v>1045492.0087321732</v>
      </c>
      <c r="BQ23" s="48">
        <f t="shared" si="24"/>
        <v>1045492.0087321732</v>
      </c>
      <c r="BR23" s="48">
        <f t="shared" si="24"/>
        <v>1045492.0087321732</v>
      </c>
      <c r="BS23" s="48">
        <f t="shared" si="24"/>
        <v>1045492.0087321732</v>
      </c>
      <c r="BT23" s="48">
        <f t="shared" si="24"/>
        <v>1045492.0087321732</v>
      </c>
      <c r="BU23" s="48">
        <f t="shared" si="24"/>
        <v>1045492.0087321732</v>
      </c>
      <c r="BV23" s="48">
        <f t="shared" si="24"/>
        <v>1045492.0087321732</v>
      </c>
      <c r="BW23" s="131">
        <f t="shared" si="24"/>
        <v>1045492.0087321732</v>
      </c>
      <c r="BX23" s="145">
        <f>BX16*$A$23</f>
        <v>1330182.0752678269</v>
      </c>
      <c r="BY23" s="48">
        <f t="shared" ref="BY23:CI23" si="25">BY16*$A$23</f>
        <v>1330182.0752678269</v>
      </c>
      <c r="BZ23" s="48">
        <f t="shared" si="25"/>
        <v>1330182.0752678269</v>
      </c>
      <c r="CA23" s="48">
        <f t="shared" si="25"/>
        <v>1330182.0752678269</v>
      </c>
      <c r="CB23" s="48">
        <f t="shared" si="25"/>
        <v>1330182.0752678269</v>
      </c>
      <c r="CC23" s="48">
        <f t="shared" si="25"/>
        <v>1330182.0752678269</v>
      </c>
      <c r="CD23" s="48">
        <f t="shared" si="25"/>
        <v>1330182.0752678269</v>
      </c>
      <c r="CE23" s="48">
        <f t="shared" si="25"/>
        <v>1330182.0752678269</v>
      </c>
      <c r="CF23" s="48">
        <f t="shared" si="25"/>
        <v>1330182.0752678269</v>
      </c>
      <c r="CG23" s="48">
        <f t="shared" si="25"/>
        <v>1330182.0752678269</v>
      </c>
      <c r="CH23" s="48">
        <f t="shared" si="25"/>
        <v>1330182.0752678269</v>
      </c>
      <c r="CI23" s="131">
        <f t="shared" si="25"/>
        <v>1330182.0752678269</v>
      </c>
      <c r="CJ23" s="145">
        <f>CJ16*$A$23</f>
        <v>1045492.0087321732</v>
      </c>
      <c r="CK23" s="48">
        <f t="shared" ref="CK23:CU23" si="26">CK16*$A$23</f>
        <v>1045492.0087321732</v>
      </c>
      <c r="CL23" s="48">
        <f t="shared" si="26"/>
        <v>1045492.0087321732</v>
      </c>
      <c r="CM23" s="48">
        <f t="shared" si="26"/>
        <v>1045492.0087321732</v>
      </c>
      <c r="CN23" s="48">
        <f t="shared" si="26"/>
        <v>1045492.0087321732</v>
      </c>
      <c r="CO23" s="48">
        <f t="shared" si="26"/>
        <v>1045492.0087321732</v>
      </c>
      <c r="CP23" s="48">
        <f t="shared" si="26"/>
        <v>1045492.0087321732</v>
      </c>
      <c r="CQ23" s="48">
        <f t="shared" si="26"/>
        <v>1045492.0087321732</v>
      </c>
      <c r="CR23" s="48">
        <f t="shared" si="26"/>
        <v>1045492.0087321732</v>
      </c>
      <c r="CS23" s="48">
        <f t="shared" si="26"/>
        <v>1045492.0087321732</v>
      </c>
      <c r="CT23" s="48">
        <f t="shared" si="26"/>
        <v>1045492.0087321732</v>
      </c>
      <c r="CU23" s="131">
        <f t="shared" si="26"/>
        <v>1045492.0087321732</v>
      </c>
      <c r="CV23" s="102">
        <f t="shared" si="3"/>
        <v>110041809.80619636</v>
      </c>
    </row>
    <row r="24" spans="1:100" s="101" customFormat="1" ht="11.25" x14ac:dyDescent="0.2">
      <c r="A24" s="79">
        <f>0.035*1.16</f>
        <v>4.0600000000000004E-2</v>
      </c>
      <c r="B24" s="41" t="s">
        <v>80</v>
      </c>
      <c r="C24" s="194"/>
      <c r="D24" s="145">
        <f t="shared" ref="D24:AI24" si="27">+D6*$A$24</f>
        <v>0</v>
      </c>
      <c r="E24" s="48">
        <f t="shared" si="27"/>
        <v>0</v>
      </c>
      <c r="F24" s="212">
        <f t="shared" si="27"/>
        <v>0</v>
      </c>
      <c r="G24" s="48">
        <f t="shared" si="27"/>
        <v>532485.34344226099</v>
      </c>
      <c r="H24" s="48">
        <f t="shared" si="27"/>
        <v>532485.34344226099</v>
      </c>
      <c r="I24" s="48">
        <f t="shared" si="27"/>
        <v>532485.34344226099</v>
      </c>
      <c r="J24" s="48">
        <f t="shared" si="27"/>
        <v>532485.34344226099</v>
      </c>
      <c r="K24" s="48">
        <f t="shared" si="27"/>
        <v>532485.34344226099</v>
      </c>
      <c r="L24" s="48">
        <f t="shared" si="27"/>
        <v>532485.34344226099</v>
      </c>
      <c r="M24" s="48">
        <f t="shared" si="27"/>
        <v>532485.34344226099</v>
      </c>
      <c r="N24" s="48">
        <f t="shared" si="27"/>
        <v>532485.34344226099</v>
      </c>
      <c r="O24" s="131">
        <f t="shared" si="27"/>
        <v>532485.34344226099</v>
      </c>
      <c r="P24" s="145">
        <f t="shared" si="27"/>
        <v>532485.34344226099</v>
      </c>
      <c r="Q24" s="48">
        <f t="shared" si="27"/>
        <v>532485.34344226099</v>
      </c>
      <c r="R24" s="48">
        <f t="shared" si="27"/>
        <v>532485.34344226099</v>
      </c>
      <c r="S24" s="48">
        <f t="shared" si="27"/>
        <v>532485.34344226099</v>
      </c>
      <c r="T24" s="48">
        <f t="shared" si="27"/>
        <v>532485.34344226099</v>
      </c>
      <c r="U24" s="48">
        <f t="shared" si="27"/>
        <v>532485.34344226099</v>
      </c>
      <c r="V24" s="48">
        <f t="shared" si="27"/>
        <v>532485.34344226099</v>
      </c>
      <c r="W24" s="48">
        <f t="shared" si="27"/>
        <v>532485.34344226099</v>
      </c>
      <c r="X24" s="48">
        <f t="shared" si="27"/>
        <v>532485.34344226099</v>
      </c>
      <c r="Y24" s="48">
        <f t="shared" si="27"/>
        <v>532485.34344226099</v>
      </c>
      <c r="Z24" s="48">
        <f t="shared" si="27"/>
        <v>532485.34344226099</v>
      </c>
      <c r="AA24" s="131">
        <f t="shared" si="27"/>
        <v>6124619.1133321943</v>
      </c>
      <c r="AB24" s="145">
        <f t="shared" si="27"/>
        <v>0</v>
      </c>
      <c r="AC24" s="48">
        <f t="shared" si="27"/>
        <v>0</v>
      </c>
      <c r="AD24" s="48">
        <f t="shared" si="27"/>
        <v>0</v>
      </c>
      <c r="AE24" s="48">
        <f t="shared" si="27"/>
        <v>532485.34344226099</v>
      </c>
      <c r="AF24" s="48">
        <f t="shared" si="27"/>
        <v>532485.34344226099</v>
      </c>
      <c r="AG24" s="48">
        <f t="shared" si="27"/>
        <v>532485.34344226099</v>
      </c>
      <c r="AH24" s="48">
        <f t="shared" si="27"/>
        <v>532485.34344226099</v>
      </c>
      <c r="AI24" s="48">
        <f t="shared" si="27"/>
        <v>532485.34344226099</v>
      </c>
      <c r="AJ24" s="48">
        <f t="shared" ref="AJ24:BO24" si="28">+AJ6*$A$24</f>
        <v>532485.34344226099</v>
      </c>
      <c r="AK24" s="48">
        <f t="shared" si="28"/>
        <v>532485.34344226099</v>
      </c>
      <c r="AL24" s="48">
        <f t="shared" si="28"/>
        <v>532485.34344226099</v>
      </c>
      <c r="AM24" s="131">
        <f t="shared" si="28"/>
        <v>532485.34344226099</v>
      </c>
      <c r="AN24" s="145">
        <f t="shared" si="28"/>
        <v>532485.34344226099</v>
      </c>
      <c r="AO24" s="48">
        <f t="shared" si="28"/>
        <v>532485.34344226099</v>
      </c>
      <c r="AP24" s="48">
        <f t="shared" si="28"/>
        <v>532485.34344226099</v>
      </c>
      <c r="AQ24" s="48">
        <f t="shared" si="28"/>
        <v>532485.34344226099</v>
      </c>
      <c r="AR24" s="48">
        <f t="shared" si="28"/>
        <v>532485.34344226099</v>
      </c>
      <c r="AS24" s="48">
        <f t="shared" si="28"/>
        <v>532485.34344226099</v>
      </c>
      <c r="AT24" s="48">
        <f t="shared" si="28"/>
        <v>532485.34344226099</v>
      </c>
      <c r="AU24" s="48">
        <f t="shared" si="28"/>
        <v>532485.34344226099</v>
      </c>
      <c r="AV24" s="48">
        <f t="shared" si="28"/>
        <v>532485.34344226099</v>
      </c>
      <c r="AW24" s="48">
        <f t="shared" si="28"/>
        <v>532485.34344226099</v>
      </c>
      <c r="AX24" s="48">
        <f t="shared" si="28"/>
        <v>532485.34344226099</v>
      </c>
      <c r="AY24" s="131">
        <f t="shared" si="28"/>
        <v>6124619.1133321943</v>
      </c>
      <c r="AZ24" s="145">
        <f t="shared" si="28"/>
        <v>0</v>
      </c>
      <c r="BA24" s="48">
        <f t="shared" si="28"/>
        <v>0</v>
      </c>
      <c r="BB24" s="48">
        <f t="shared" si="28"/>
        <v>0</v>
      </c>
      <c r="BC24" s="48">
        <f t="shared" si="28"/>
        <v>532485.34344226099</v>
      </c>
      <c r="BD24" s="48">
        <f t="shared" si="28"/>
        <v>532485.34344226099</v>
      </c>
      <c r="BE24" s="48">
        <f t="shared" si="28"/>
        <v>532485.34344226099</v>
      </c>
      <c r="BF24" s="48">
        <f t="shared" si="28"/>
        <v>532485.34344226099</v>
      </c>
      <c r="BG24" s="48">
        <f t="shared" si="28"/>
        <v>532485.34344226099</v>
      </c>
      <c r="BH24" s="48">
        <f t="shared" si="28"/>
        <v>532485.34344226099</v>
      </c>
      <c r="BI24" s="48">
        <f t="shared" si="28"/>
        <v>532485.34344226099</v>
      </c>
      <c r="BJ24" s="48">
        <f t="shared" si="28"/>
        <v>532485.34344226099</v>
      </c>
      <c r="BK24" s="131">
        <f t="shared" si="28"/>
        <v>532485.34344226099</v>
      </c>
      <c r="BL24" s="145">
        <f t="shared" si="28"/>
        <v>532485.34344226099</v>
      </c>
      <c r="BM24" s="48">
        <f t="shared" si="28"/>
        <v>532485.34344226099</v>
      </c>
      <c r="BN24" s="48">
        <f t="shared" si="28"/>
        <v>532485.34344226099</v>
      </c>
      <c r="BO24" s="48">
        <f t="shared" si="28"/>
        <v>532485.34344226099</v>
      </c>
      <c r="BP24" s="48">
        <f t="shared" ref="BP24:CU24" si="29">+BP6*$A$24</f>
        <v>532485.34344226099</v>
      </c>
      <c r="BQ24" s="48">
        <f t="shared" si="29"/>
        <v>532485.34344226099</v>
      </c>
      <c r="BR24" s="48">
        <f t="shared" si="29"/>
        <v>532485.34344226099</v>
      </c>
      <c r="BS24" s="48">
        <f t="shared" si="29"/>
        <v>532485.34344226099</v>
      </c>
      <c r="BT24" s="48">
        <f t="shared" si="29"/>
        <v>532485.34344226099</v>
      </c>
      <c r="BU24" s="48">
        <f t="shared" si="29"/>
        <v>532485.34344226099</v>
      </c>
      <c r="BV24" s="48">
        <f t="shared" si="29"/>
        <v>532485.34344226099</v>
      </c>
      <c r="BW24" s="131">
        <f t="shared" si="29"/>
        <v>6124619.1133321943</v>
      </c>
      <c r="BX24" s="145">
        <f t="shared" si="29"/>
        <v>0</v>
      </c>
      <c r="BY24" s="48">
        <f t="shared" si="29"/>
        <v>0</v>
      </c>
      <c r="BZ24" s="48">
        <f t="shared" si="29"/>
        <v>0</v>
      </c>
      <c r="CA24" s="48">
        <f t="shared" si="29"/>
        <v>532485.34344226099</v>
      </c>
      <c r="CB24" s="48">
        <f t="shared" si="29"/>
        <v>532485.34344226099</v>
      </c>
      <c r="CC24" s="48">
        <f t="shared" si="29"/>
        <v>532485.34344226099</v>
      </c>
      <c r="CD24" s="48">
        <f t="shared" si="29"/>
        <v>532485.34344226099</v>
      </c>
      <c r="CE24" s="48">
        <f t="shared" si="29"/>
        <v>532485.34344226099</v>
      </c>
      <c r="CF24" s="48">
        <f t="shared" si="29"/>
        <v>532485.34344226099</v>
      </c>
      <c r="CG24" s="48">
        <f t="shared" si="29"/>
        <v>532485.34344226099</v>
      </c>
      <c r="CH24" s="48">
        <f t="shared" si="29"/>
        <v>532485.34344226099</v>
      </c>
      <c r="CI24" s="131">
        <f t="shared" si="29"/>
        <v>532485.34344226099</v>
      </c>
      <c r="CJ24" s="145">
        <f t="shared" si="29"/>
        <v>532485.34344226099</v>
      </c>
      <c r="CK24" s="48">
        <f t="shared" si="29"/>
        <v>532485.34344226099</v>
      </c>
      <c r="CL24" s="48">
        <f t="shared" si="29"/>
        <v>532485.34344226099</v>
      </c>
      <c r="CM24" s="48">
        <f t="shared" si="29"/>
        <v>532485.34344226099</v>
      </c>
      <c r="CN24" s="48">
        <f t="shared" si="29"/>
        <v>532485.34344226099</v>
      </c>
      <c r="CO24" s="48">
        <f t="shared" si="29"/>
        <v>532485.34344226099</v>
      </c>
      <c r="CP24" s="48">
        <f t="shared" si="29"/>
        <v>532485.34344226099</v>
      </c>
      <c r="CQ24" s="48">
        <f t="shared" si="29"/>
        <v>532485.34344226099</v>
      </c>
      <c r="CR24" s="48">
        <f t="shared" si="29"/>
        <v>532485.34344226099</v>
      </c>
      <c r="CS24" s="48">
        <f t="shared" si="29"/>
        <v>532485.34344226099</v>
      </c>
      <c r="CT24" s="48">
        <f t="shared" si="29"/>
        <v>532485.34344226099</v>
      </c>
      <c r="CU24" s="131">
        <f t="shared" si="29"/>
        <v>6124619.1133321943</v>
      </c>
      <c r="CV24" s="102">
        <f t="shared" si="3"/>
        <v>67097303.928709678</v>
      </c>
    </row>
    <row r="25" spans="1:100" s="101" customFormat="1" ht="11.25" x14ac:dyDescent="0.2">
      <c r="B25" s="42" t="s">
        <v>103</v>
      </c>
      <c r="C25" s="195">
        <f t="shared" ref="C25:AH25" si="30">+C6-C16-SUM(C20:C24)</f>
        <v>0</v>
      </c>
      <c r="D25" s="147">
        <f t="shared" si="30"/>
        <v>0</v>
      </c>
      <c r="E25" s="49">
        <f t="shared" si="30"/>
        <v>0</v>
      </c>
      <c r="F25" s="213">
        <f>+F6-F16-SUM(F20:F24)</f>
        <v>-5420778.8081870209</v>
      </c>
      <c r="G25" s="49">
        <f t="shared" si="30"/>
        <v>-27501096.366563175</v>
      </c>
      <c r="H25" s="49">
        <f t="shared" si="30"/>
        <v>3939420.7209215481</v>
      </c>
      <c r="I25" s="49">
        <f t="shared" si="30"/>
        <v>3939420.7209215481</v>
      </c>
      <c r="J25" s="49">
        <f t="shared" si="30"/>
        <v>3939420.7209215481</v>
      </c>
      <c r="K25" s="49">
        <f t="shared" si="30"/>
        <v>3939420.7209215481</v>
      </c>
      <c r="L25" s="49">
        <f t="shared" si="30"/>
        <v>3939420.7209215481</v>
      </c>
      <c r="M25" s="49">
        <f t="shared" si="30"/>
        <v>3939420.7209215481</v>
      </c>
      <c r="N25" s="49">
        <f t="shared" si="30"/>
        <v>3939420.7209215481</v>
      </c>
      <c r="O25" s="133">
        <f t="shared" si="30"/>
        <v>3939420.7209215481</v>
      </c>
      <c r="P25" s="147">
        <f t="shared" si="30"/>
        <v>5626524.9083224908</v>
      </c>
      <c r="Q25" s="49">
        <f t="shared" si="30"/>
        <v>5626524.9083224908</v>
      </c>
      <c r="R25" s="49">
        <f t="shared" si="30"/>
        <v>5626524.9083224908</v>
      </c>
      <c r="S25" s="49">
        <f t="shared" si="30"/>
        <v>5626524.9083224908</v>
      </c>
      <c r="T25" s="49">
        <f t="shared" si="30"/>
        <v>5626524.9083224908</v>
      </c>
      <c r="U25" s="49">
        <f t="shared" si="30"/>
        <v>5626524.9083224908</v>
      </c>
      <c r="V25" s="49">
        <f t="shared" si="30"/>
        <v>205746.10013546981</v>
      </c>
      <c r="W25" s="49">
        <f t="shared" si="30"/>
        <v>5626524.9083224908</v>
      </c>
      <c r="X25" s="49">
        <f t="shared" si="30"/>
        <v>5626524.9083224908</v>
      </c>
      <c r="Y25" s="49">
        <f t="shared" si="30"/>
        <v>5626524.9083224908</v>
      </c>
      <c r="Z25" s="49">
        <f t="shared" si="30"/>
        <v>5626524.9083224908</v>
      </c>
      <c r="AA25" s="133">
        <f t="shared" si="30"/>
        <v>129782913.58267681</v>
      </c>
      <c r="AB25" s="147">
        <f t="shared" si="30"/>
        <v>-7882803.1357004717</v>
      </c>
      <c r="AC25" s="49">
        <f t="shared" si="30"/>
        <v>-7882803.1357004717</v>
      </c>
      <c r="AD25" s="49">
        <f t="shared" si="30"/>
        <v>-7882803.1357004717</v>
      </c>
      <c r="AE25" s="49">
        <f t="shared" si="30"/>
        <v>3939420.7209215481</v>
      </c>
      <c r="AF25" s="49">
        <f t="shared" si="30"/>
        <v>3939420.7209215481</v>
      </c>
      <c r="AG25" s="49">
        <f t="shared" si="30"/>
        <v>3939420.7209215481</v>
      </c>
      <c r="AH25" s="49">
        <f t="shared" si="30"/>
        <v>3939420.7209215481</v>
      </c>
      <c r="AI25" s="49">
        <f t="shared" ref="AI25:BN25" si="31">+AI6-AI16-SUM(AI20:AI24)</f>
        <v>3939420.7209215481</v>
      </c>
      <c r="AJ25" s="49">
        <f t="shared" si="31"/>
        <v>3939420.7209215481</v>
      </c>
      <c r="AK25" s="49">
        <f t="shared" si="31"/>
        <v>3939420.7209215481</v>
      </c>
      <c r="AL25" s="49">
        <f t="shared" si="31"/>
        <v>3939420.7209215481</v>
      </c>
      <c r="AM25" s="133">
        <f t="shared" si="31"/>
        <v>3939420.7209215481</v>
      </c>
      <c r="AN25" s="147">
        <f t="shared" si="31"/>
        <v>5626524.9083224908</v>
      </c>
      <c r="AO25" s="49">
        <f t="shared" si="31"/>
        <v>5626524.9083224908</v>
      </c>
      <c r="AP25" s="49">
        <f t="shared" si="31"/>
        <v>5626524.9083224908</v>
      </c>
      <c r="AQ25" s="49">
        <f t="shared" si="31"/>
        <v>5626524.9083224908</v>
      </c>
      <c r="AR25" s="49">
        <f t="shared" si="31"/>
        <v>5626524.9083224908</v>
      </c>
      <c r="AS25" s="49">
        <f t="shared" si="31"/>
        <v>5626524.9083224908</v>
      </c>
      <c r="AT25" s="49">
        <f t="shared" si="31"/>
        <v>5626524.9083224908</v>
      </c>
      <c r="AU25" s="49">
        <f t="shared" si="31"/>
        <v>5626524.9083224908</v>
      </c>
      <c r="AV25" s="49">
        <f t="shared" si="31"/>
        <v>5626524.9083224908</v>
      </c>
      <c r="AW25" s="49">
        <f t="shared" si="31"/>
        <v>5626524.9083224908</v>
      </c>
      <c r="AX25" s="49">
        <f t="shared" si="31"/>
        <v>5626524.9083224908</v>
      </c>
      <c r="AY25" s="133">
        <f t="shared" si="31"/>
        <v>129782913.58267681</v>
      </c>
      <c r="AZ25" s="147">
        <f t="shared" si="31"/>
        <v>-7882803.1357004717</v>
      </c>
      <c r="BA25" s="49">
        <f t="shared" si="31"/>
        <v>-7882803.1357004717</v>
      </c>
      <c r="BB25" s="49">
        <f t="shared" si="31"/>
        <v>-7882803.1357004717</v>
      </c>
      <c r="BC25" s="49">
        <f t="shared" si="31"/>
        <v>3939420.7209215481</v>
      </c>
      <c r="BD25" s="49">
        <f t="shared" si="31"/>
        <v>3939420.7209215481</v>
      </c>
      <c r="BE25" s="49">
        <f t="shared" si="31"/>
        <v>3939420.7209215481</v>
      </c>
      <c r="BF25" s="49">
        <f t="shared" si="31"/>
        <v>3939420.7209215481</v>
      </c>
      <c r="BG25" s="49">
        <f t="shared" si="31"/>
        <v>3939420.7209215481</v>
      </c>
      <c r="BH25" s="49">
        <f t="shared" si="31"/>
        <v>3939420.7209215481</v>
      </c>
      <c r="BI25" s="49">
        <f t="shared" si="31"/>
        <v>3939420.7209215481</v>
      </c>
      <c r="BJ25" s="49">
        <f t="shared" si="31"/>
        <v>3939420.7209215481</v>
      </c>
      <c r="BK25" s="133">
        <f t="shared" si="31"/>
        <v>3939420.7209215481</v>
      </c>
      <c r="BL25" s="147">
        <f t="shared" si="31"/>
        <v>5626524.9083224908</v>
      </c>
      <c r="BM25" s="49">
        <f t="shared" si="31"/>
        <v>5626524.9083224908</v>
      </c>
      <c r="BN25" s="49">
        <f t="shared" si="31"/>
        <v>5626524.9083224908</v>
      </c>
      <c r="BO25" s="49">
        <f t="shared" ref="BO25:CT25" si="32">+BO6-BO16-SUM(BO20:BO24)</f>
        <v>5626524.9083224908</v>
      </c>
      <c r="BP25" s="49">
        <f t="shared" si="32"/>
        <v>5626524.9083224908</v>
      </c>
      <c r="BQ25" s="49">
        <f t="shared" si="32"/>
        <v>5626524.9083224908</v>
      </c>
      <c r="BR25" s="49">
        <f t="shared" si="32"/>
        <v>5626524.9083224908</v>
      </c>
      <c r="BS25" s="49">
        <f t="shared" si="32"/>
        <v>5626524.9083224908</v>
      </c>
      <c r="BT25" s="49">
        <f t="shared" si="32"/>
        <v>5626524.9083224908</v>
      </c>
      <c r="BU25" s="49">
        <f t="shared" si="32"/>
        <v>5626524.9083224908</v>
      </c>
      <c r="BV25" s="49">
        <f t="shared" si="32"/>
        <v>5626524.9083224908</v>
      </c>
      <c r="BW25" s="133">
        <f t="shared" si="32"/>
        <v>129782913.58267681</v>
      </c>
      <c r="BX25" s="147">
        <f t="shared" si="32"/>
        <v>-7882803.1357004717</v>
      </c>
      <c r="BY25" s="49">
        <f t="shared" si="32"/>
        <v>-7882803.1357004717</v>
      </c>
      <c r="BZ25" s="49">
        <f t="shared" si="32"/>
        <v>-7882803.1357004717</v>
      </c>
      <c r="CA25" s="49">
        <f t="shared" si="32"/>
        <v>3939420.7209215481</v>
      </c>
      <c r="CB25" s="49">
        <f t="shared" si="32"/>
        <v>3939420.7209215481</v>
      </c>
      <c r="CC25" s="49">
        <f t="shared" si="32"/>
        <v>3939420.7209215481</v>
      </c>
      <c r="CD25" s="49">
        <f t="shared" si="32"/>
        <v>3939420.7209215481</v>
      </c>
      <c r="CE25" s="49">
        <f t="shared" si="32"/>
        <v>3939420.7209215481</v>
      </c>
      <c r="CF25" s="49">
        <f t="shared" si="32"/>
        <v>3939420.7209215481</v>
      </c>
      <c r="CG25" s="49">
        <f t="shared" si="32"/>
        <v>3939420.7209215481</v>
      </c>
      <c r="CH25" s="49">
        <f t="shared" si="32"/>
        <v>3939420.7209215481</v>
      </c>
      <c r="CI25" s="133">
        <f t="shared" si="32"/>
        <v>3939420.7209215481</v>
      </c>
      <c r="CJ25" s="147">
        <f t="shared" si="32"/>
        <v>5626524.9083224908</v>
      </c>
      <c r="CK25" s="49">
        <f t="shared" si="32"/>
        <v>5626524.9083224908</v>
      </c>
      <c r="CL25" s="49">
        <f t="shared" si="32"/>
        <v>5626524.9083224908</v>
      </c>
      <c r="CM25" s="49">
        <f t="shared" si="32"/>
        <v>5626524.9083224908</v>
      </c>
      <c r="CN25" s="49">
        <f t="shared" si="32"/>
        <v>5626524.9083224908</v>
      </c>
      <c r="CO25" s="49">
        <f t="shared" si="32"/>
        <v>5626524.9083224908</v>
      </c>
      <c r="CP25" s="49">
        <f t="shared" si="32"/>
        <v>5626524.9083224908</v>
      </c>
      <c r="CQ25" s="49">
        <f t="shared" si="32"/>
        <v>5626524.9083224908</v>
      </c>
      <c r="CR25" s="49">
        <f t="shared" si="32"/>
        <v>5626524.9083224908</v>
      </c>
      <c r="CS25" s="49">
        <f t="shared" si="32"/>
        <v>5626524.9083224908</v>
      </c>
      <c r="CT25" s="49">
        <f t="shared" si="32"/>
        <v>5626524.9083224908</v>
      </c>
      <c r="CU25" s="133">
        <f>+CU6-CU16-SUM(CU20:CU24)</f>
        <v>129782913.58267681</v>
      </c>
      <c r="CV25" s="102">
        <f t="shared" si="3"/>
        <v>795290593.32490933</v>
      </c>
    </row>
    <row r="26" spans="1:100" s="101" customFormat="1" ht="11.25" x14ac:dyDescent="0.2">
      <c r="B26" s="41" t="s">
        <v>55</v>
      </c>
      <c r="C26" s="194"/>
      <c r="D26" s="186"/>
      <c r="E26" s="187"/>
      <c r="F26" s="214"/>
      <c r="G26" s="187"/>
      <c r="H26" s="187"/>
      <c r="I26" s="187"/>
      <c r="J26" s="187"/>
      <c r="K26" s="187"/>
      <c r="L26" s="187"/>
      <c r="M26" s="187"/>
      <c r="N26" s="187"/>
      <c r="O26" s="184"/>
      <c r="P26" s="186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4"/>
      <c r="AB26" s="186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4"/>
      <c r="AN26" s="186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4"/>
      <c r="AZ26" s="186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4"/>
      <c r="BL26" s="186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4"/>
      <c r="BX26" s="186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4"/>
      <c r="CJ26" s="186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4"/>
      <c r="CV26" s="102">
        <f t="shared" si="3"/>
        <v>0</v>
      </c>
    </row>
    <row r="27" spans="1:100" s="101" customFormat="1" ht="11.25" x14ac:dyDescent="0.2">
      <c r="B27" s="41" t="s">
        <v>56</v>
      </c>
      <c r="C27" s="194"/>
      <c r="D27" s="186"/>
      <c r="E27" s="187"/>
      <c r="F27" s="214"/>
      <c r="G27" s="187"/>
      <c r="H27" s="187"/>
      <c r="I27" s="187"/>
      <c r="J27" s="187"/>
      <c r="K27" s="187"/>
      <c r="L27" s="187"/>
      <c r="M27" s="187"/>
      <c r="N27" s="187"/>
      <c r="O27" s="184"/>
      <c r="P27" s="186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4"/>
      <c r="AB27" s="186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4"/>
      <c r="AN27" s="186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4"/>
      <c r="AZ27" s="186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4"/>
      <c r="BL27" s="186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4"/>
      <c r="BX27" s="186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4"/>
      <c r="CJ27" s="186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4"/>
      <c r="CV27" s="102">
        <f t="shared" si="3"/>
        <v>0</v>
      </c>
    </row>
    <row r="28" spans="1:100" s="101" customFormat="1" ht="11.25" x14ac:dyDescent="0.2">
      <c r="B28" s="42" t="s">
        <v>57</v>
      </c>
      <c r="C28" s="195">
        <f t="shared" ref="C28:AA28" si="33">C25-C26-C27</f>
        <v>0</v>
      </c>
      <c r="D28" s="147">
        <f t="shared" si="33"/>
        <v>0</v>
      </c>
      <c r="E28" s="49">
        <f t="shared" si="33"/>
        <v>0</v>
      </c>
      <c r="F28" s="213">
        <f t="shared" si="33"/>
        <v>-5420778.8081870209</v>
      </c>
      <c r="G28" s="49">
        <f t="shared" si="33"/>
        <v>-27501096.366563175</v>
      </c>
      <c r="H28" s="49">
        <f t="shared" si="33"/>
        <v>3939420.7209215481</v>
      </c>
      <c r="I28" s="49">
        <f t="shared" si="33"/>
        <v>3939420.7209215481</v>
      </c>
      <c r="J28" s="49">
        <f t="shared" si="33"/>
        <v>3939420.7209215481</v>
      </c>
      <c r="K28" s="49">
        <f t="shared" si="33"/>
        <v>3939420.7209215481</v>
      </c>
      <c r="L28" s="49">
        <f t="shared" si="33"/>
        <v>3939420.7209215481</v>
      </c>
      <c r="M28" s="49">
        <f t="shared" si="33"/>
        <v>3939420.7209215481</v>
      </c>
      <c r="N28" s="49">
        <f t="shared" si="33"/>
        <v>3939420.7209215481</v>
      </c>
      <c r="O28" s="133">
        <f t="shared" si="33"/>
        <v>3939420.7209215481</v>
      </c>
      <c r="P28" s="147">
        <f t="shared" si="33"/>
        <v>5626524.9083224908</v>
      </c>
      <c r="Q28" s="49">
        <f t="shared" si="33"/>
        <v>5626524.9083224908</v>
      </c>
      <c r="R28" s="49">
        <f t="shared" si="33"/>
        <v>5626524.9083224908</v>
      </c>
      <c r="S28" s="49">
        <f t="shared" si="33"/>
        <v>5626524.9083224908</v>
      </c>
      <c r="T28" s="49">
        <f t="shared" si="33"/>
        <v>5626524.9083224908</v>
      </c>
      <c r="U28" s="49">
        <f t="shared" si="33"/>
        <v>5626524.9083224908</v>
      </c>
      <c r="V28" s="49">
        <f t="shared" si="33"/>
        <v>205746.10013546981</v>
      </c>
      <c r="W28" s="49">
        <f t="shared" si="33"/>
        <v>5626524.9083224908</v>
      </c>
      <c r="X28" s="49">
        <f t="shared" si="33"/>
        <v>5626524.9083224908</v>
      </c>
      <c r="Y28" s="49">
        <f t="shared" si="33"/>
        <v>5626524.9083224908</v>
      </c>
      <c r="Z28" s="49">
        <f t="shared" si="33"/>
        <v>5626524.9083224908</v>
      </c>
      <c r="AA28" s="133">
        <f t="shared" si="33"/>
        <v>129782913.58267681</v>
      </c>
      <c r="AB28" s="147">
        <f t="shared" ref="AB28:CI28" si="34">AB25-AB26-AB27</f>
        <v>-7882803.1357004717</v>
      </c>
      <c r="AC28" s="49">
        <f t="shared" si="34"/>
        <v>-7882803.1357004717</v>
      </c>
      <c r="AD28" s="49">
        <f t="shared" si="34"/>
        <v>-7882803.1357004717</v>
      </c>
      <c r="AE28" s="49">
        <f t="shared" si="34"/>
        <v>3939420.7209215481</v>
      </c>
      <c r="AF28" s="49">
        <f t="shared" si="34"/>
        <v>3939420.7209215481</v>
      </c>
      <c r="AG28" s="49">
        <f t="shared" si="34"/>
        <v>3939420.7209215481</v>
      </c>
      <c r="AH28" s="49">
        <f t="shared" si="34"/>
        <v>3939420.7209215481</v>
      </c>
      <c r="AI28" s="49">
        <f t="shared" si="34"/>
        <v>3939420.7209215481</v>
      </c>
      <c r="AJ28" s="49">
        <f t="shared" si="34"/>
        <v>3939420.7209215481</v>
      </c>
      <c r="AK28" s="49">
        <f t="shared" si="34"/>
        <v>3939420.7209215481</v>
      </c>
      <c r="AL28" s="49">
        <f t="shared" si="34"/>
        <v>3939420.7209215481</v>
      </c>
      <c r="AM28" s="133">
        <f t="shared" si="34"/>
        <v>3939420.7209215481</v>
      </c>
      <c r="AN28" s="147">
        <f t="shared" si="34"/>
        <v>5626524.9083224908</v>
      </c>
      <c r="AO28" s="49">
        <f t="shared" si="34"/>
        <v>5626524.9083224908</v>
      </c>
      <c r="AP28" s="49">
        <f t="shared" si="34"/>
        <v>5626524.9083224908</v>
      </c>
      <c r="AQ28" s="49">
        <f t="shared" si="34"/>
        <v>5626524.9083224908</v>
      </c>
      <c r="AR28" s="49">
        <f t="shared" si="34"/>
        <v>5626524.9083224908</v>
      </c>
      <c r="AS28" s="49">
        <f t="shared" si="34"/>
        <v>5626524.9083224908</v>
      </c>
      <c r="AT28" s="49">
        <f t="shared" si="34"/>
        <v>5626524.9083224908</v>
      </c>
      <c r="AU28" s="49">
        <f t="shared" si="34"/>
        <v>5626524.9083224908</v>
      </c>
      <c r="AV28" s="49">
        <f t="shared" si="34"/>
        <v>5626524.9083224908</v>
      </c>
      <c r="AW28" s="49">
        <f t="shared" si="34"/>
        <v>5626524.9083224908</v>
      </c>
      <c r="AX28" s="49">
        <f t="shared" si="34"/>
        <v>5626524.9083224908</v>
      </c>
      <c r="AY28" s="133">
        <f t="shared" si="34"/>
        <v>129782913.58267681</v>
      </c>
      <c r="AZ28" s="147">
        <f t="shared" si="34"/>
        <v>-7882803.1357004717</v>
      </c>
      <c r="BA28" s="49">
        <f t="shared" si="34"/>
        <v>-7882803.1357004717</v>
      </c>
      <c r="BB28" s="49">
        <f t="shared" si="34"/>
        <v>-7882803.1357004717</v>
      </c>
      <c r="BC28" s="49">
        <f t="shared" si="34"/>
        <v>3939420.7209215481</v>
      </c>
      <c r="BD28" s="49">
        <f t="shared" si="34"/>
        <v>3939420.7209215481</v>
      </c>
      <c r="BE28" s="49">
        <f t="shared" si="34"/>
        <v>3939420.7209215481</v>
      </c>
      <c r="BF28" s="49">
        <f t="shared" si="34"/>
        <v>3939420.7209215481</v>
      </c>
      <c r="BG28" s="49">
        <f t="shared" si="34"/>
        <v>3939420.7209215481</v>
      </c>
      <c r="BH28" s="49">
        <f t="shared" si="34"/>
        <v>3939420.7209215481</v>
      </c>
      <c r="BI28" s="49">
        <f t="shared" si="34"/>
        <v>3939420.7209215481</v>
      </c>
      <c r="BJ28" s="49">
        <f t="shared" si="34"/>
        <v>3939420.7209215481</v>
      </c>
      <c r="BK28" s="133">
        <f t="shared" si="34"/>
        <v>3939420.7209215481</v>
      </c>
      <c r="BL28" s="147">
        <f t="shared" si="34"/>
        <v>5626524.9083224908</v>
      </c>
      <c r="BM28" s="49">
        <f t="shared" si="34"/>
        <v>5626524.9083224908</v>
      </c>
      <c r="BN28" s="49">
        <f t="shared" si="34"/>
        <v>5626524.9083224908</v>
      </c>
      <c r="BO28" s="49">
        <f t="shared" si="34"/>
        <v>5626524.9083224908</v>
      </c>
      <c r="BP28" s="49">
        <f t="shared" si="34"/>
        <v>5626524.9083224908</v>
      </c>
      <c r="BQ28" s="49">
        <f t="shared" si="34"/>
        <v>5626524.9083224908</v>
      </c>
      <c r="BR28" s="49">
        <f t="shared" si="34"/>
        <v>5626524.9083224908</v>
      </c>
      <c r="BS28" s="49">
        <f t="shared" si="34"/>
        <v>5626524.9083224908</v>
      </c>
      <c r="BT28" s="49">
        <f t="shared" si="34"/>
        <v>5626524.9083224908</v>
      </c>
      <c r="BU28" s="49">
        <f t="shared" si="34"/>
        <v>5626524.9083224908</v>
      </c>
      <c r="BV28" s="49">
        <f t="shared" si="34"/>
        <v>5626524.9083224908</v>
      </c>
      <c r="BW28" s="133">
        <f t="shared" si="34"/>
        <v>129782913.58267681</v>
      </c>
      <c r="BX28" s="147">
        <f t="shared" si="34"/>
        <v>-7882803.1357004717</v>
      </c>
      <c r="BY28" s="49">
        <f t="shared" si="34"/>
        <v>-7882803.1357004717</v>
      </c>
      <c r="BZ28" s="49">
        <f t="shared" si="34"/>
        <v>-7882803.1357004717</v>
      </c>
      <c r="CA28" s="49">
        <f t="shared" si="34"/>
        <v>3939420.7209215481</v>
      </c>
      <c r="CB28" s="49">
        <f t="shared" si="34"/>
        <v>3939420.7209215481</v>
      </c>
      <c r="CC28" s="49">
        <f t="shared" si="34"/>
        <v>3939420.7209215481</v>
      </c>
      <c r="CD28" s="49">
        <f t="shared" si="34"/>
        <v>3939420.7209215481</v>
      </c>
      <c r="CE28" s="49">
        <f t="shared" si="34"/>
        <v>3939420.7209215481</v>
      </c>
      <c r="CF28" s="49">
        <f t="shared" si="34"/>
        <v>3939420.7209215481</v>
      </c>
      <c r="CG28" s="49">
        <f t="shared" si="34"/>
        <v>3939420.7209215481</v>
      </c>
      <c r="CH28" s="49">
        <f t="shared" si="34"/>
        <v>3939420.7209215481</v>
      </c>
      <c r="CI28" s="133">
        <f t="shared" si="34"/>
        <v>3939420.7209215481</v>
      </c>
      <c r="CJ28" s="147">
        <f t="shared" ref="CJ28:CU28" si="35">CJ25-CJ26-CJ27</f>
        <v>5626524.9083224908</v>
      </c>
      <c r="CK28" s="49">
        <f t="shared" si="35"/>
        <v>5626524.9083224908</v>
      </c>
      <c r="CL28" s="49">
        <f t="shared" si="35"/>
        <v>5626524.9083224908</v>
      </c>
      <c r="CM28" s="49">
        <f t="shared" si="35"/>
        <v>5626524.9083224908</v>
      </c>
      <c r="CN28" s="49">
        <f t="shared" si="35"/>
        <v>5626524.9083224908</v>
      </c>
      <c r="CO28" s="49">
        <f t="shared" si="35"/>
        <v>5626524.9083224908</v>
      </c>
      <c r="CP28" s="49">
        <f t="shared" si="35"/>
        <v>5626524.9083224908</v>
      </c>
      <c r="CQ28" s="49">
        <f t="shared" si="35"/>
        <v>5626524.9083224908</v>
      </c>
      <c r="CR28" s="49">
        <f t="shared" si="35"/>
        <v>5626524.9083224908</v>
      </c>
      <c r="CS28" s="49">
        <f t="shared" si="35"/>
        <v>5626524.9083224908</v>
      </c>
      <c r="CT28" s="49">
        <f t="shared" si="35"/>
        <v>5626524.9083224908</v>
      </c>
      <c r="CU28" s="133">
        <f t="shared" si="35"/>
        <v>129782913.58267681</v>
      </c>
      <c r="CV28" s="102">
        <f t="shared" si="3"/>
        <v>795290593.32490933</v>
      </c>
    </row>
    <row r="29" spans="1:100" s="101" customFormat="1" ht="11.25" x14ac:dyDescent="0.2">
      <c r="B29" s="41" t="s">
        <v>58</v>
      </c>
      <c r="C29" s="194"/>
      <c r="D29" s="186"/>
      <c r="E29" s="187"/>
      <c r="F29" s="214"/>
      <c r="G29" s="187"/>
      <c r="H29" s="187"/>
      <c r="I29" s="187"/>
      <c r="J29" s="187"/>
      <c r="K29" s="187"/>
      <c r="L29" s="187"/>
      <c r="M29" s="187"/>
      <c r="N29" s="187"/>
      <c r="O29" s="184"/>
      <c r="P29" s="186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4"/>
      <c r="AB29" s="186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4"/>
      <c r="AN29" s="186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4"/>
      <c r="AZ29" s="186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4"/>
      <c r="BL29" s="186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4"/>
      <c r="BX29" s="186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4"/>
      <c r="CJ29" s="186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4"/>
      <c r="CV29" s="102">
        <f t="shared" si="3"/>
        <v>0</v>
      </c>
    </row>
    <row r="30" spans="1:100" s="101" customFormat="1" ht="11.25" x14ac:dyDescent="0.2">
      <c r="B30" s="42" t="s">
        <v>59</v>
      </c>
      <c r="C30" s="195">
        <f t="shared" ref="C30:AA30" si="36">+C28-C29</f>
        <v>0</v>
      </c>
      <c r="D30" s="147">
        <f t="shared" si="36"/>
        <v>0</v>
      </c>
      <c r="E30" s="49">
        <f t="shared" si="36"/>
        <v>0</v>
      </c>
      <c r="F30" s="213">
        <f t="shared" si="36"/>
        <v>-5420778.8081870209</v>
      </c>
      <c r="G30" s="49">
        <f t="shared" si="36"/>
        <v>-27501096.366563175</v>
      </c>
      <c r="H30" s="49">
        <f t="shared" si="36"/>
        <v>3939420.7209215481</v>
      </c>
      <c r="I30" s="49">
        <f t="shared" si="36"/>
        <v>3939420.7209215481</v>
      </c>
      <c r="J30" s="49">
        <f t="shared" si="36"/>
        <v>3939420.7209215481</v>
      </c>
      <c r="K30" s="49">
        <f t="shared" si="36"/>
        <v>3939420.7209215481</v>
      </c>
      <c r="L30" s="49">
        <f t="shared" si="36"/>
        <v>3939420.7209215481</v>
      </c>
      <c r="M30" s="49">
        <f t="shared" si="36"/>
        <v>3939420.7209215481</v>
      </c>
      <c r="N30" s="49">
        <f t="shared" si="36"/>
        <v>3939420.7209215481</v>
      </c>
      <c r="O30" s="133">
        <f t="shared" si="36"/>
        <v>3939420.7209215481</v>
      </c>
      <c r="P30" s="147">
        <f t="shared" si="36"/>
        <v>5626524.9083224908</v>
      </c>
      <c r="Q30" s="49">
        <f t="shared" si="36"/>
        <v>5626524.9083224908</v>
      </c>
      <c r="R30" s="49">
        <f t="shared" si="36"/>
        <v>5626524.9083224908</v>
      </c>
      <c r="S30" s="49">
        <f t="shared" si="36"/>
        <v>5626524.9083224908</v>
      </c>
      <c r="T30" s="49">
        <f t="shared" si="36"/>
        <v>5626524.9083224908</v>
      </c>
      <c r="U30" s="49">
        <f t="shared" si="36"/>
        <v>5626524.9083224908</v>
      </c>
      <c r="V30" s="49">
        <f t="shared" si="36"/>
        <v>205746.10013546981</v>
      </c>
      <c r="W30" s="49">
        <f t="shared" si="36"/>
        <v>5626524.9083224908</v>
      </c>
      <c r="X30" s="49">
        <f t="shared" si="36"/>
        <v>5626524.9083224908</v>
      </c>
      <c r="Y30" s="49">
        <f t="shared" si="36"/>
        <v>5626524.9083224908</v>
      </c>
      <c r="Z30" s="49">
        <f t="shared" si="36"/>
        <v>5626524.9083224908</v>
      </c>
      <c r="AA30" s="133">
        <f t="shared" si="36"/>
        <v>129782913.58267681</v>
      </c>
      <c r="AB30" s="147">
        <f t="shared" ref="AB30:CI30" si="37">+AB28-AB29</f>
        <v>-7882803.1357004717</v>
      </c>
      <c r="AC30" s="49">
        <f t="shared" si="37"/>
        <v>-7882803.1357004717</v>
      </c>
      <c r="AD30" s="49">
        <f t="shared" si="37"/>
        <v>-7882803.1357004717</v>
      </c>
      <c r="AE30" s="49">
        <f t="shared" si="37"/>
        <v>3939420.7209215481</v>
      </c>
      <c r="AF30" s="49">
        <f t="shared" si="37"/>
        <v>3939420.7209215481</v>
      </c>
      <c r="AG30" s="49">
        <f t="shared" si="37"/>
        <v>3939420.7209215481</v>
      </c>
      <c r="AH30" s="49">
        <f t="shared" si="37"/>
        <v>3939420.7209215481</v>
      </c>
      <c r="AI30" s="49">
        <f t="shared" si="37"/>
        <v>3939420.7209215481</v>
      </c>
      <c r="AJ30" s="49">
        <f t="shared" si="37"/>
        <v>3939420.7209215481</v>
      </c>
      <c r="AK30" s="49">
        <f t="shared" si="37"/>
        <v>3939420.7209215481</v>
      </c>
      <c r="AL30" s="49">
        <f t="shared" si="37"/>
        <v>3939420.7209215481</v>
      </c>
      <c r="AM30" s="133">
        <f t="shared" si="37"/>
        <v>3939420.7209215481</v>
      </c>
      <c r="AN30" s="147">
        <f t="shared" si="37"/>
        <v>5626524.9083224908</v>
      </c>
      <c r="AO30" s="49">
        <f t="shared" si="37"/>
        <v>5626524.9083224908</v>
      </c>
      <c r="AP30" s="49">
        <f t="shared" si="37"/>
        <v>5626524.9083224908</v>
      </c>
      <c r="AQ30" s="49">
        <f t="shared" si="37"/>
        <v>5626524.9083224908</v>
      </c>
      <c r="AR30" s="49">
        <f t="shared" si="37"/>
        <v>5626524.9083224908</v>
      </c>
      <c r="AS30" s="49">
        <f t="shared" si="37"/>
        <v>5626524.9083224908</v>
      </c>
      <c r="AT30" s="49">
        <f t="shared" si="37"/>
        <v>5626524.9083224908</v>
      </c>
      <c r="AU30" s="49">
        <f t="shared" si="37"/>
        <v>5626524.9083224908</v>
      </c>
      <c r="AV30" s="49">
        <f t="shared" si="37"/>
        <v>5626524.9083224908</v>
      </c>
      <c r="AW30" s="49">
        <f t="shared" si="37"/>
        <v>5626524.9083224908</v>
      </c>
      <c r="AX30" s="49">
        <f t="shared" si="37"/>
        <v>5626524.9083224908</v>
      </c>
      <c r="AY30" s="133">
        <f t="shared" si="37"/>
        <v>129782913.58267681</v>
      </c>
      <c r="AZ30" s="147">
        <f t="shared" si="37"/>
        <v>-7882803.1357004717</v>
      </c>
      <c r="BA30" s="49">
        <f t="shared" si="37"/>
        <v>-7882803.1357004717</v>
      </c>
      <c r="BB30" s="49">
        <f t="shared" si="37"/>
        <v>-7882803.1357004717</v>
      </c>
      <c r="BC30" s="49">
        <f t="shared" si="37"/>
        <v>3939420.7209215481</v>
      </c>
      <c r="BD30" s="49">
        <f t="shared" si="37"/>
        <v>3939420.7209215481</v>
      </c>
      <c r="BE30" s="49">
        <f t="shared" si="37"/>
        <v>3939420.7209215481</v>
      </c>
      <c r="BF30" s="49">
        <f t="shared" si="37"/>
        <v>3939420.7209215481</v>
      </c>
      <c r="BG30" s="49">
        <f t="shared" si="37"/>
        <v>3939420.7209215481</v>
      </c>
      <c r="BH30" s="49">
        <f t="shared" si="37"/>
        <v>3939420.7209215481</v>
      </c>
      <c r="BI30" s="49">
        <f t="shared" si="37"/>
        <v>3939420.7209215481</v>
      </c>
      <c r="BJ30" s="49">
        <f t="shared" si="37"/>
        <v>3939420.7209215481</v>
      </c>
      <c r="BK30" s="133">
        <f t="shared" si="37"/>
        <v>3939420.7209215481</v>
      </c>
      <c r="BL30" s="147">
        <f t="shared" si="37"/>
        <v>5626524.9083224908</v>
      </c>
      <c r="BM30" s="49">
        <f t="shared" si="37"/>
        <v>5626524.9083224908</v>
      </c>
      <c r="BN30" s="49">
        <f t="shared" si="37"/>
        <v>5626524.9083224908</v>
      </c>
      <c r="BO30" s="49">
        <f t="shared" si="37"/>
        <v>5626524.9083224908</v>
      </c>
      <c r="BP30" s="49">
        <f t="shared" si="37"/>
        <v>5626524.9083224908</v>
      </c>
      <c r="BQ30" s="49">
        <f t="shared" si="37"/>
        <v>5626524.9083224908</v>
      </c>
      <c r="BR30" s="49">
        <f t="shared" si="37"/>
        <v>5626524.9083224908</v>
      </c>
      <c r="BS30" s="49">
        <f t="shared" si="37"/>
        <v>5626524.9083224908</v>
      </c>
      <c r="BT30" s="49">
        <f t="shared" si="37"/>
        <v>5626524.9083224908</v>
      </c>
      <c r="BU30" s="49">
        <f t="shared" si="37"/>
        <v>5626524.9083224908</v>
      </c>
      <c r="BV30" s="49">
        <f t="shared" si="37"/>
        <v>5626524.9083224908</v>
      </c>
      <c r="BW30" s="133">
        <f t="shared" si="37"/>
        <v>129782913.58267681</v>
      </c>
      <c r="BX30" s="147">
        <f t="shared" si="37"/>
        <v>-7882803.1357004717</v>
      </c>
      <c r="BY30" s="49">
        <f t="shared" si="37"/>
        <v>-7882803.1357004717</v>
      </c>
      <c r="BZ30" s="49">
        <f t="shared" si="37"/>
        <v>-7882803.1357004717</v>
      </c>
      <c r="CA30" s="49">
        <f t="shared" si="37"/>
        <v>3939420.7209215481</v>
      </c>
      <c r="CB30" s="49">
        <f t="shared" si="37"/>
        <v>3939420.7209215481</v>
      </c>
      <c r="CC30" s="49">
        <f t="shared" si="37"/>
        <v>3939420.7209215481</v>
      </c>
      <c r="CD30" s="49">
        <f t="shared" si="37"/>
        <v>3939420.7209215481</v>
      </c>
      <c r="CE30" s="49">
        <f t="shared" si="37"/>
        <v>3939420.7209215481</v>
      </c>
      <c r="CF30" s="49">
        <f t="shared" si="37"/>
        <v>3939420.7209215481</v>
      </c>
      <c r="CG30" s="49">
        <f t="shared" si="37"/>
        <v>3939420.7209215481</v>
      </c>
      <c r="CH30" s="49">
        <f t="shared" si="37"/>
        <v>3939420.7209215481</v>
      </c>
      <c r="CI30" s="133">
        <f t="shared" si="37"/>
        <v>3939420.7209215481</v>
      </c>
      <c r="CJ30" s="147">
        <f t="shared" ref="CJ30:CU30" si="38">+CJ28-CJ29</f>
        <v>5626524.9083224908</v>
      </c>
      <c r="CK30" s="49">
        <f t="shared" si="38"/>
        <v>5626524.9083224908</v>
      </c>
      <c r="CL30" s="49">
        <f t="shared" si="38"/>
        <v>5626524.9083224908</v>
      </c>
      <c r="CM30" s="49">
        <f t="shared" si="38"/>
        <v>5626524.9083224908</v>
      </c>
      <c r="CN30" s="49">
        <f t="shared" si="38"/>
        <v>5626524.9083224908</v>
      </c>
      <c r="CO30" s="49">
        <f t="shared" si="38"/>
        <v>5626524.9083224908</v>
      </c>
      <c r="CP30" s="49">
        <f t="shared" si="38"/>
        <v>5626524.9083224908</v>
      </c>
      <c r="CQ30" s="49">
        <f t="shared" si="38"/>
        <v>5626524.9083224908</v>
      </c>
      <c r="CR30" s="49">
        <f t="shared" si="38"/>
        <v>5626524.9083224908</v>
      </c>
      <c r="CS30" s="49">
        <f t="shared" si="38"/>
        <v>5626524.9083224908</v>
      </c>
      <c r="CT30" s="49">
        <f t="shared" si="38"/>
        <v>5626524.9083224908</v>
      </c>
      <c r="CU30" s="133">
        <f t="shared" si="38"/>
        <v>129782913.58267681</v>
      </c>
      <c r="CV30" s="102">
        <f t="shared" si="3"/>
        <v>795290593.32490933</v>
      </c>
    </row>
    <row r="31" spans="1:100" s="101" customFormat="1" ht="11.25" x14ac:dyDescent="0.2">
      <c r="B31" s="43" t="s">
        <v>60</v>
      </c>
      <c r="C31" s="194"/>
      <c r="D31" s="186"/>
      <c r="E31" s="187"/>
      <c r="F31" s="214"/>
      <c r="G31" s="187"/>
      <c r="H31" s="187"/>
      <c r="I31" s="187"/>
      <c r="J31" s="187"/>
      <c r="K31" s="187"/>
      <c r="L31" s="187"/>
      <c r="M31" s="187"/>
      <c r="N31" s="187"/>
      <c r="O31" s="184"/>
      <c r="P31" s="186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4"/>
      <c r="AB31" s="186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4"/>
      <c r="AN31" s="186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4"/>
      <c r="AZ31" s="186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4"/>
      <c r="BL31" s="186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4"/>
      <c r="BX31" s="186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4"/>
      <c r="CJ31" s="186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4"/>
      <c r="CV31" s="102">
        <f t="shared" si="3"/>
        <v>0</v>
      </c>
    </row>
    <row r="32" spans="1:100" s="101" customFormat="1" ht="11.25" x14ac:dyDescent="0.2">
      <c r="B32" s="43" t="s">
        <v>97</v>
      </c>
      <c r="C32" s="201">
        <v>-1500000</v>
      </c>
      <c r="D32" s="186"/>
      <c r="E32" s="187"/>
      <c r="F32" s="214"/>
      <c r="G32" s="187"/>
      <c r="H32" s="187"/>
      <c r="I32" s="187"/>
      <c r="J32" s="187"/>
      <c r="K32" s="187"/>
      <c r="L32" s="187"/>
      <c r="M32" s="187"/>
      <c r="N32" s="187"/>
      <c r="O32" s="184"/>
      <c r="P32" s="186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4"/>
      <c r="AB32" s="186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4"/>
      <c r="AN32" s="186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4"/>
      <c r="AZ32" s="186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4"/>
      <c r="BL32" s="186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4"/>
      <c r="BX32" s="186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4"/>
      <c r="CJ32" s="186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4"/>
      <c r="CV32" s="102">
        <f t="shared" si="3"/>
        <v>-1500000</v>
      </c>
    </row>
    <row r="33" spans="2:100" s="101" customFormat="1" ht="11.25" x14ac:dyDescent="0.2">
      <c r="B33" s="43" t="s">
        <v>133</v>
      </c>
      <c r="C33" s="202">
        <v>-1000000</v>
      </c>
      <c r="D33" s="186"/>
      <c r="E33" s="187"/>
      <c r="F33" s="214"/>
      <c r="G33" s="187"/>
      <c r="H33" s="187"/>
      <c r="I33" s="187"/>
      <c r="J33" s="187"/>
      <c r="K33" s="187"/>
      <c r="L33" s="187"/>
      <c r="M33" s="187"/>
      <c r="N33" s="187"/>
      <c r="O33" s="184"/>
      <c r="P33" s="186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4"/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4"/>
      <c r="AN33" s="186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4"/>
      <c r="AZ33" s="186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4"/>
      <c r="BL33" s="186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4"/>
      <c r="BX33" s="186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4"/>
      <c r="CJ33" s="186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4"/>
      <c r="CV33" s="102">
        <f t="shared" si="3"/>
        <v>-1000000</v>
      </c>
    </row>
    <row r="34" spans="2:100" s="101" customFormat="1" ht="11.25" x14ac:dyDescent="0.2">
      <c r="B34" s="100" t="s">
        <v>111</v>
      </c>
      <c r="C34" s="201">
        <f>-'Calendario Aport Terreno'!B6</f>
        <v>-50034375</v>
      </c>
      <c r="D34" s="186"/>
      <c r="E34" s="187"/>
      <c r="F34" s="214"/>
      <c r="G34" s="187"/>
      <c r="H34" s="187"/>
      <c r="I34" s="187"/>
      <c r="J34" s="187"/>
      <c r="K34" s="187"/>
      <c r="L34" s="187"/>
      <c r="M34" s="187"/>
      <c r="N34" s="187"/>
      <c r="O34" s="184"/>
      <c r="P34" s="186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4"/>
      <c r="AB34" s="186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4"/>
      <c r="AN34" s="186">
        <f>-'Calendario Aport Terreno'!D6</f>
        <v>-55037812.5</v>
      </c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4"/>
      <c r="AZ34" s="186">
        <f>-'Calendario Aport Terreno'!F6</f>
        <v>-60541593.750000007</v>
      </c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4"/>
      <c r="BL34" s="186">
        <f>-'Calendario Aport Terreno'!H6</f>
        <v>-66595753.125000015</v>
      </c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4"/>
      <c r="BX34" s="186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4"/>
      <c r="CJ34" s="186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4"/>
      <c r="CV34" s="102">
        <f t="shared" si="3"/>
        <v>-232209534.375</v>
      </c>
    </row>
    <row r="35" spans="2:100" s="101" customFormat="1" ht="11.25" x14ac:dyDescent="0.2">
      <c r="B35" s="44" t="s">
        <v>61</v>
      </c>
      <c r="C35" s="194"/>
      <c r="D35" s="186"/>
      <c r="E35" s="187"/>
      <c r="F35" s="214"/>
      <c r="G35" s="187"/>
      <c r="H35" s="187"/>
      <c r="I35" s="187"/>
      <c r="J35" s="187"/>
      <c r="K35" s="187"/>
      <c r="L35" s="187"/>
      <c r="M35" s="187"/>
      <c r="N35" s="187"/>
      <c r="O35" s="184"/>
      <c r="P35" s="186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4"/>
      <c r="AB35" s="186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4"/>
      <c r="AN35" s="186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4"/>
      <c r="AZ35" s="186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4"/>
      <c r="BL35" s="186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4"/>
      <c r="BX35" s="186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4"/>
      <c r="CJ35" s="186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4"/>
      <c r="CV35" s="102">
        <f t="shared" si="3"/>
        <v>0</v>
      </c>
    </row>
    <row r="36" spans="2:100" s="101" customFormat="1" ht="11.25" x14ac:dyDescent="0.2">
      <c r="B36" s="44"/>
      <c r="C36" s="194"/>
      <c r="D36" s="186"/>
      <c r="E36" s="187"/>
      <c r="F36" s="214"/>
      <c r="G36" s="187"/>
      <c r="H36" s="187"/>
      <c r="I36" s="187"/>
      <c r="J36" s="187"/>
      <c r="K36" s="187"/>
      <c r="L36" s="187"/>
      <c r="M36" s="187"/>
      <c r="N36" s="187"/>
      <c r="O36" s="184"/>
      <c r="P36" s="186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4"/>
      <c r="AB36" s="186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4"/>
      <c r="AN36" s="186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4"/>
      <c r="AZ36" s="186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4"/>
      <c r="BL36" s="186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4"/>
      <c r="BX36" s="186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4"/>
      <c r="CJ36" s="186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4"/>
      <c r="CV36" s="102">
        <f t="shared" si="3"/>
        <v>0</v>
      </c>
    </row>
    <row r="37" spans="2:100" s="188" customFormat="1" ht="11.25" x14ac:dyDescent="0.2">
      <c r="B37" s="176" t="s">
        <v>62</v>
      </c>
      <c r="C37" s="196">
        <f>SUM(C30:C35)</f>
        <v>-52534375</v>
      </c>
      <c r="D37" s="178">
        <f t="shared" ref="D37:AI37" si="39">SUM(D30:D35)</f>
        <v>0</v>
      </c>
      <c r="E37" s="177">
        <f t="shared" si="39"/>
        <v>0</v>
      </c>
      <c r="F37" s="215">
        <f t="shared" si="39"/>
        <v>-5420778.8081870209</v>
      </c>
      <c r="G37" s="177">
        <f t="shared" si="39"/>
        <v>-27501096.366563175</v>
      </c>
      <c r="H37" s="177">
        <f t="shared" si="39"/>
        <v>3939420.7209215481</v>
      </c>
      <c r="I37" s="177">
        <f t="shared" si="39"/>
        <v>3939420.7209215481</v>
      </c>
      <c r="J37" s="177">
        <f t="shared" si="39"/>
        <v>3939420.7209215481</v>
      </c>
      <c r="K37" s="177">
        <f t="shared" si="39"/>
        <v>3939420.7209215481</v>
      </c>
      <c r="L37" s="177">
        <f t="shared" si="39"/>
        <v>3939420.7209215481</v>
      </c>
      <c r="M37" s="177">
        <f t="shared" si="39"/>
        <v>3939420.7209215481</v>
      </c>
      <c r="N37" s="177">
        <f t="shared" si="39"/>
        <v>3939420.7209215481</v>
      </c>
      <c r="O37" s="179">
        <f t="shared" si="39"/>
        <v>3939420.7209215481</v>
      </c>
      <c r="P37" s="178">
        <f t="shared" si="39"/>
        <v>5626524.9083224908</v>
      </c>
      <c r="Q37" s="177">
        <f t="shared" si="39"/>
        <v>5626524.9083224908</v>
      </c>
      <c r="R37" s="177">
        <f t="shared" si="39"/>
        <v>5626524.9083224908</v>
      </c>
      <c r="S37" s="177">
        <f t="shared" si="39"/>
        <v>5626524.9083224908</v>
      </c>
      <c r="T37" s="177">
        <f t="shared" si="39"/>
        <v>5626524.9083224908</v>
      </c>
      <c r="U37" s="177">
        <f t="shared" si="39"/>
        <v>5626524.9083224908</v>
      </c>
      <c r="V37" s="177">
        <f t="shared" si="39"/>
        <v>205746.10013546981</v>
      </c>
      <c r="W37" s="177">
        <f t="shared" si="39"/>
        <v>5626524.9083224908</v>
      </c>
      <c r="X37" s="177">
        <f t="shared" si="39"/>
        <v>5626524.9083224908</v>
      </c>
      <c r="Y37" s="177">
        <f t="shared" si="39"/>
        <v>5626524.9083224908</v>
      </c>
      <c r="Z37" s="177">
        <f t="shared" si="39"/>
        <v>5626524.9083224908</v>
      </c>
      <c r="AA37" s="179">
        <f t="shared" si="39"/>
        <v>129782913.58267681</v>
      </c>
      <c r="AB37" s="178">
        <f t="shared" si="39"/>
        <v>-7882803.1357004717</v>
      </c>
      <c r="AC37" s="177">
        <f t="shared" si="39"/>
        <v>-7882803.1357004717</v>
      </c>
      <c r="AD37" s="177">
        <f t="shared" si="39"/>
        <v>-7882803.1357004717</v>
      </c>
      <c r="AE37" s="177">
        <f t="shared" si="39"/>
        <v>3939420.7209215481</v>
      </c>
      <c r="AF37" s="177">
        <f t="shared" si="39"/>
        <v>3939420.7209215481</v>
      </c>
      <c r="AG37" s="177">
        <f t="shared" si="39"/>
        <v>3939420.7209215481</v>
      </c>
      <c r="AH37" s="177">
        <f t="shared" si="39"/>
        <v>3939420.7209215481</v>
      </c>
      <c r="AI37" s="177">
        <f t="shared" si="39"/>
        <v>3939420.7209215481</v>
      </c>
      <c r="AJ37" s="177">
        <f t="shared" ref="AJ37:BO37" si="40">SUM(AJ30:AJ35)</f>
        <v>3939420.7209215481</v>
      </c>
      <c r="AK37" s="177">
        <f t="shared" si="40"/>
        <v>3939420.7209215481</v>
      </c>
      <c r="AL37" s="177">
        <f t="shared" si="40"/>
        <v>3939420.7209215481</v>
      </c>
      <c r="AM37" s="179">
        <f t="shared" si="40"/>
        <v>3939420.7209215481</v>
      </c>
      <c r="AN37" s="178">
        <f t="shared" si="40"/>
        <v>-49411287.591677509</v>
      </c>
      <c r="AO37" s="177">
        <f t="shared" si="40"/>
        <v>5626524.9083224908</v>
      </c>
      <c r="AP37" s="177">
        <f t="shared" si="40"/>
        <v>5626524.9083224908</v>
      </c>
      <c r="AQ37" s="177">
        <f t="shared" si="40"/>
        <v>5626524.9083224908</v>
      </c>
      <c r="AR37" s="177">
        <f t="shared" si="40"/>
        <v>5626524.9083224908</v>
      </c>
      <c r="AS37" s="177">
        <f t="shared" si="40"/>
        <v>5626524.9083224908</v>
      </c>
      <c r="AT37" s="177">
        <f t="shared" si="40"/>
        <v>5626524.9083224908</v>
      </c>
      <c r="AU37" s="177">
        <f t="shared" si="40"/>
        <v>5626524.9083224908</v>
      </c>
      <c r="AV37" s="177">
        <f t="shared" si="40"/>
        <v>5626524.9083224908</v>
      </c>
      <c r="AW37" s="177">
        <f t="shared" si="40"/>
        <v>5626524.9083224908</v>
      </c>
      <c r="AX37" s="177">
        <f t="shared" si="40"/>
        <v>5626524.9083224908</v>
      </c>
      <c r="AY37" s="179">
        <f t="shared" si="40"/>
        <v>129782913.58267681</v>
      </c>
      <c r="AZ37" s="178">
        <f t="shared" si="40"/>
        <v>-68424396.885700479</v>
      </c>
      <c r="BA37" s="177">
        <f t="shared" si="40"/>
        <v>-7882803.1357004717</v>
      </c>
      <c r="BB37" s="177">
        <f t="shared" si="40"/>
        <v>-7882803.1357004717</v>
      </c>
      <c r="BC37" s="177">
        <f t="shared" si="40"/>
        <v>3939420.7209215481</v>
      </c>
      <c r="BD37" s="177">
        <f t="shared" si="40"/>
        <v>3939420.7209215481</v>
      </c>
      <c r="BE37" s="177">
        <f t="shared" si="40"/>
        <v>3939420.7209215481</v>
      </c>
      <c r="BF37" s="177">
        <f t="shared" si="40"/>
        <v>3939420.7209215481</v>
      </c>
      <c r="BG37" s="177">
        <f t="shared" si="40"/>
        <v>3939420.7209215481</v>
      </c>
      <c r="BH37" s="177">
        <f t="shared" si="40"/>
        <v>3939420.7209215481</v>
      </c>
      <c r="BI37" s="177">
        <f t="shared" si="40"/>
        <v>3939420.7209215481</v>
      </c>
      <c r="BJ37" s="177">
        <f t="shared" si="40"/>
        <v>3939420.7209215481</v>
      </c>
      <c r="BK37" s="179">
        <f t="shared" si="40"/>
        <v>3939420.7209215481</v>
      </c>
      <c r="BL37" s="178">
        <f t="shared" si="40"/>
        <v>-60969228.216677524</v>
      </c>
      <c r="BM37" s="177">
        <f t="shared" si="40"/>
        <v>5626524.9083224908</v>
      </c>
      <c r="BN37" s="177">
        <f t="shared" si="40"/>
        <v>5626524.9083224908</v>
      </c>
      <c r="BO37" s="177">
        <f t="shared" si="40"/>
        <v>5626524.9083224908</v>
      </c>
      <c r="BP37" s="177">
        <f t="shared" ref="BP37:CU37" si="41">SUM(BP30:BP35)</f>
        <v>5626524.9083224908</v>
      </c>
      <c r="BQ37" s="177">
        <f t="shared" si="41"/>
        <v>5626524.9083224908</v>
      </c>
      <c r="BR37" s="177">
        <f t="shared" si="41"/>
        <v>5626524.9083224908</v>
      </c>
      <c r="BS37" s="177">
        <f t="shared" si="41"/>
        <v>5626524.9083224908</v>
      </c>
      <c r="BT37" s="177">
        <f t="shared" si="41"/>
        <v>5626524.9083224908</v>
      </c>
      <c r="BU37" s="177">
        <f t="shared" si="41"/>
        <v>5626524.9083224908</v>
      </c>
      <c r="BV37" s="177">
        <f t="shared" si="41"/>
        <v>5626524.9083224908</v>
      </c>
      <c r="BW37" s="179">
        <f t="shared" si="41"/>
        <v>129782913.58267681</v>
      </c>
      <c r="BX37" s="178">
        <f t="shared" si="41"/>
        <v>-7882803.1357004717</v>
      </c>
      <c r="BY37" s="177">
        <f t="shared" si="41"/>
        <v>-7882803.1357004717</v>
      </c>
      <c r="BZ37" s="177">
        <f t="shared" si="41"/>
        <v>-7882803.1357004717</v>
      </c>
      <c r="CA37" s="177">
        <f t="shared" si="41"/>
        <v>3939420.7209215481</v>
      </c>
      <c r="CB37" s="177">
        <f t="shared" si="41"/>
        <v>3939420.7209215481</v>
      </c>
      <c r="CC37" s="177">
        <f t="shared" si="41"/>
        <v>3939420.7209215481</v>
      </c>
      <c r="CD37" s="177">
        <f t="shared" si="41"/>
        <v>3939420.7209215481</v>
      </c>
      <c r="CE37" s="177">
        <f t="shared" si="41"/>
        <v>3939420.7209215481</v>
      </c>
      <c r="CF37" s="177">
        <f t="shared" si="41"/>
        <v>3939420.7209215481</v>
      </c>
      <c r="CG37" s="177">
        <f t="shared" si="41"/>
        <v>3939420.7209215481</v>
      </c>
      <c r="CH37" s="177">
        <f t="shared" si="41"/>
        <v>3939420.7209215481</v>
      </c>
      <c r="CI37" s="179">
        <f t="shared" si="41"/>
        <v>3939420.7209215481</v>
      </c>
      <c r="CJ37" s="178">
        <f t="shared" si="41"/>
        <v>5626524.9083224908</v>
      </c>
      <c r="CK37" s="177">
        <f t="shared" si="41"/>
        <v>5626524.9083224908</v>
      </c>
      <c r="CL37" s="177">
        <f t="shared" si="41"/>
        <v>5626524.9083224908</v>
      </c>
      <c r="CM37" s="177">
        <f t="shared" si="41"/>
        <v>5626524.9083224908</v>
      </c>
      <c r="CN37" s="177">
        <f t="shared" si="41"/>
        <v>5626524.9083224908</v>
      </c>
      <c r="CO37" s="177">
        <f t="shared" si="41"/>
        <v>5626524.9083224908</v>
      </c>
      <c r="CP37" s="177">
        <f t="shared" si="41"/>
        <v>5626524.9083224908</v>
      </c>
      <c r="CQ37" s="177">
        <f t="shared" si="41"/>
        <v>5626524.9083224908</v>
      </c>
      <c r="CR37" s="177">
        <f t="shared" si="41"/>
        <v>5626524.9083224908</v>
      </c>
      <c r="CS37" s="177">
        <f t="shared" si="41"/>
        <v>5626524.9083224908</v>
      </c>
      <c r="CT37" s="177">
        <f t="shared" si="41"/>
        <v>5626524.9083224908</v>
      </c>
      <c r="CU37" s="179">
        <f t="shared" si="41"/>
        <v>129782913.58267681</v>
      </c>
      <c r="CV37" s="102"/>
    </row>
    <row r="38" spans="2:100" s="101" customFormat="1" ht="11.25" x14ac:dyDescent="0.2">
      <c r="C38" s="194"/>
      <c r="D38" s="186"/>
      <c r="E38" s="185"/>
      <c r="F38" s="216"/>
      <c r="G38" s="185"/>
      <c r="H38" s="185"/>
      <c r="I38" s="185"/>
      <c r="J38" s="185"/>
      <c r="K38" s="185"/>
      <c r="L38" s="185"/>
      <c r="M38" s="185"/>
      <c r="N38" s="185"/>
      <c r="O38" s="184"/>
      <c r="P38" s="186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4"/>
      <c r="AB38" s="186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4"/>
      <c r="AN38" s="186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4"/>
      <c r="AZ38" s="186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4"/>
      <c r="BL38" s="186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4"/>
      <c r="BX38" s="186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4"/>
      <c r="CJ38" s="186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4"/>
    </row>
    <row r="39" spans="2:100" s="101" customFormat="1" ht="16.5" thickBot="1" x14ac:dyDescent="0.3">
      <c r="B39" s="190" t="s">
        <v>99</v>
      </c>
      <c r="C39" s="197">
        <f>+C37</f>
        <v>-52534375</v>
      </c>
      <c r="D39" s="191">
        <f t="shared" ref="D39:BO39" si="42">+C39+D37</f>
        <v>-52534375</v>
      </c>
      <c r="E39" s="192">
        <f t="shared" si="42"/>
        <v>-52534375</v>
      </c>
      <c r="F39" s="258">
        <f t="shared" si="42"/>
        <v>-57955153.808187023</v>
      </c>
      <c r="G39" s="192">
        <f t="shared" si="42"/>
        <v>-85456250.174750194</v>
      </c>
      <c r="H39" s="192">
        <f t="shared" si="42"/>
        <v>-81516829.453828648</v>
      </c>
      <c r="I39" s="192">
        <f t="shared" si="42"/>
        <v>-77577408.732907102</v>
      </c>
      <c r="J39" s="192">
        <f t="shared" si="42"/>
        <v>-73637988.011985555</v>
      </c>
      <c r="K39" s="192">
        <f t="shared" si="42"/>
        <v>-69698567.291064009</v>
      </c>
      <c r="L39" s="192">
        <f t="shared" si="42"/>
        <v>-65759146.570142463</v>
      </c>
      <c r="M39" s="192">
        <f t="shared" si="42"/>
        <v>-61819725.849220917</v>
      </c>
      <c r="N39" s="192">
        <f t="shared" si="42"/>
        <v>-57880305.12829937</v>
      </c>
      <c r="O39" s="193">
        <f t="shared" si="42"/>
        <v>-53940884.407377824</v>
      </c>
      <c r="P39" s="191">
        <f t="shared" si="42"/>
        <v>-48314359.499055333</v>
      </c>
      <c r="Q39" s="192">
        <f t="shared" si="42"/>
        <v>-42687834.590732843</v>
      </c>
      <c r="R39" s="192">
        <f t="shared" si="42"/>
        <v>-37061309.682410352</v>
      </c>
      <c r="S39" s="192">
        <f t="shared" si="42"/>
        <v>-31434784.774087861</v>
      </c>
      <c r="T39" s="192">
        <f t="shared" si="42"/>
        <v>-25808259.86576537</v>
      </c>
      <c r="U39" s="192">
        <f t="shared" si="42"/>
        <v>-20181734.95744288</v>
      </c>
      <c r="V39" s="192">
        <f t="shared" si="42"/>
        <v>-19975988.857307412</v>
      </c>
      <c r="W39" s="192">
        <f t="shared" si="42"/>
        <v>-14349463.948984921</v>
      </c>
      <c r="X39" s="192">
        <f t="shared" si="42"/>
        <v>-8722939.0406624302</v>
      </c>
      <c r="Y39" s="192">
        <f t="shared" si="42"/>
        <v>-3096414.1323399395</v>
      </c>
      <c r="Z39" s="192">
        <f t="shared" si="42"/>
        <v>2530110.7759825513</v>
      </c>
      <c r="AA39" s="193">
        <f t="shared" si="42"/>
        <v>132313024.35865936</v>
      </c>
      <c r="AB39" s="191">
        <f t="shared" si="42"/>
        <v>124430221.22295889</v>
      </c>
      <c r="AC39" s="192">
        <f t="shared" si="42"/>
        <v>116547418.08725843</v>
      </c>
      <c r="AD39" s="192">
        <f t="shared" si="42"/>
        <v>108664614.95155796</v>
      </c>
      <c r="AE39" s="192">
        <f t="shared" si="42"/>
        <v>112604035.67247951</v>
      </c>
      <c r="AF39" s="192">
        <f t="shared" si="42"/>
        <v>116543456.39340106</v>
      </c>
      <c r="AG39" s="192">
        <f t="shared" si="42"/>
        <v>120482877.1143226</v>
      </c>
      <c r="AH39" s="192">
        <f t="shared" si="42"/>
        <v>124422297.83524415</v>
      </c>
      <c r="AI39" s="192">
        <f t="shared" si="42"/>
        <v>128361718.5561657</v>
      </c>
      <c r="AJ39" s="192">
        <f t="shared" si="42"/>
        <v>132301139.27708724</v>
      </c>
      <c r="AK39" s="192">
        <f t="shared" si="42"/>
        <v>136240559.99800879</v>
      </c>
      <c r="AL39" s="192">
        <f t="shared" si="42"/>
        <v>140179980.71893033</v>
      </c>
      <c r="AM39" s="193">
        <f t="shared" si="42"/>
        <v>144119401.43985188</v>
      </c>
      <c r="AN39" s="191">
        <f t="shared" si="42"/>
        <v>94708113.848174363</v>
      </c>
      <c r="AO39" s="192">
        <f t="shared" si="42"/>
        <v>100334638.75649685</v>
      </c>
      <c r="AP39" s="192">
        <f t="shared" si="42"/>
        <v>105961163.66481933</v>
      </c>
      <c r="AQ39" s="192">
        <f t="shared" si="42"/>
        <v>111587688.57314181</v>
      </c>
      <c r="AR39" s="192">
        <f t="shared" si="42"/>
        <v>117214213.4814643</v>
      </c>
      <c r="AS39" s="192">
        <f t="shared" si="42"/>
        <v>122840738.38978678</v>
      </c>
      <c r="AT39" s="192">
        <f t="shared" si="42"/>
        <v>128467263.29810926</v>
      </c>
      <c r="AU39" s="192">
        <f t="shared" si="42"/>
        <v>134093788.20643175</v>
      </c>
      <c r="AV39" s="192">
        <f t="shared" si="42"/>
        <v>139720313.11475423</v>
      </c>
      <c r="AW39" s="192">
        <f t="shared" si="42"/>
        <v>145346838.02307671</v>
      </c>
      <c r="AX39" s="192">
        <f t="shared" si="42"/>
        <v>150973362.9313992</v>
      </c>
      <c r="AY39" s="193">
        <f t="shared" si="42"/>
        <v>280756276.51407599</v>
      </c>
      <c r="AZ39" s="193">
        <f t="shared" si="42"/>
        <v>212331879.62837553</v>
      </c>
      <c r="BA39" s="193">
        <f t="shared" si="42"/>
        <v>204449076.49267507</v>
      </c>
      <c r="BB39" s="193">
        <f t="shared" si="42"/>
        <v>196566273.3569746</v>
      </c>
      <c r="BC39" s="193">
        <f t="shared" si="42"/>
        <v>200505694.07789615</v>
      </c>
      <c r="BD39" s="193">
        <f t="shared" si="42"/>
        <v>204445114.79881769</v>
      </c>
      <c r="BE39" s="193">
        <f t="shared" si="42"/>
        <v>208384535.51973924</v>
      </c>
      <c r="BF39" s="193">
        <f t="shared" si="42"/>
        <v>212323956.24066079</v>
      </c>
      <c r="BG39" s="193">
        <f t="shared" si="42"/>
        <v>216263376.96158233</v>
      </c>
      <c r="BH39" s="193">
        <f t="shared" si="42"/>
        <v>220202797.68250388</v>
      </c>
      <c r="BI39" s="193">
        <f t="shared" si="42"/>
        <v>224142218.40342543</v>
      </c>
      <c r="BJ39" s="193">
        <f t="shared" si="42"/>
        <v>228081639.12434697</v>
      </c>
      <c r="BK39" s="193">
        <f t="shared" si="42"/>
        <v>232021059.84526852</v>
      </c>
      <c r="BL39" s="193">
        <f t="shared" si="42"/>
        <v>171051831.628591</v>
      </c>
      <c r="BM39" s="193">
        <f t="shared" si="42"/>
        <v>176678356.53691348</v>
      </c>
      <c r="BN39" s="193">
        <f t="shared" si="42"/>
        <v>182304881.44523597</v>
      </c>
      <c r="BO39" s="193">
        <f t="shared" si="42"/>
        <v>187931406.35355845</v>
      </c>
      <c r="BP39" s="193">
        <f t="shared" ref="BP39:CU39" si="43">+BO39+BP37</f>
        <v>193557931.26188093</v>
      </c>
      <c r="BQ39" s="193">
        <f t="shared" si="43"/>
        <v>199184456.17020342</v>
      </c>
      <c r="BR39" s="193">
        <f t="shared" si="43"/>
        <v>204810981.0785259</v>
      </c>
      <c r="BS39" s="193">
        <f t="shared" si="43"/>
        <v>210437505.98684838</v>
      </c>
      <c r="BT39" s="193">
        <f t="shared" si="43"/>
        <v>216064030.89517087</v>
      </c>
      <c r="BU39" s="193">
        <f t="shared" si="43"/>
        <v>221690555.80349335</v>
      </c>
      <c r="BV39" s="193">
        <f t="shared" si="43"/>
        <v>227317080.71181583</v>
      </c>
      <c r="BW39" s="193">
        <f t="shared" si="43"/>
        <v>357099994.29449266</v>
      </c>
      <c r="BX39" s="193">
        <f t="shared" si="43"/>
        <v>349217191.1587922</v>
      </c>
      <c r="BY39" s="193">
        <f t="shared" si="43"/>
        <v>341334388.02309173</v>
      </c>
      <c r="BZ39" s="193">
        <f t="shared" si="43"/>
        <v>333451584.88739127</v>
      </c>
      <c r="CA39" s="193">
        <f t="shared" si="43"/>
        <v>337391005.60831285</v>
      </c>
      <c r="CB39" s="193">
        <f t="shared" si="43"/>
        <v>341330426.32923442</v>
      </c>
      <c r="CC39" s="193">
        <f t="shared" si="43"/>
        <v>345269847.050156</v>
      </c>
      <c r="CD39" s="193">
        <f t="shared" si="43"/>
        <v>349209267.77107757</v>
      </c>
      <c r="CE39" s="193">
        <f t="shared" si="43"/>
        <v>353148688.49199915</v>
      </c>
      <c r="CF39" s="193">
        <f t="shared" si="43"/>
        <v>357088109.21292073</v>
      </c>
      <c r="CG39" s="193">
        <f t="shared" si="43"/>
        <v>361027529.9338423</v>
      </c>
      <c r="CH39" s="193">
        <f t="shared" si="43"/>
        <v>364966950.65476388</v>
      </c>
      <c r="CI39" s="193">
        <f t="shared" si="43"/>
        <v>368906371.37568545</v>
      </c>
      <c r="CJ39" s="193">
        <f t="shared" si="43"/>
        <v>374532896.28400797</v>
      </c>
      <c r="CK39" s="193">
        <f t="shared" si="43"/>
        <v>380159421.19233048</v>
      </c>
      <c r="CL39" s="193">
        <f t="shared" si="43"/>
        <v>385785946.10065299</v>
      </c>
      <c r="CM39" s="193">
        <f t="shared" si="43"/>
        <v>391412471.00897551</v>
      </c>
      <c r="CN39" s="193">
        <f t="shared" si="43"/>
        <v>397038995.91729802</v>
      </c>
      <c r="CO39" s="193">
        <f t="shared" si="43"/>
        <v>402665520.82562053</v>
      </c>
      <c r="CP39" s="193">
        <f t="shared" si="43"/>
        <v>408292045.73394305</v>
      </c>
      <c r="CQ39" s="193">
        <f t="shared" si="43"/>
        <v>413918570.64226556</v>
      </c>
      <c r="CR39" s="193">
        <f t="shared" si="43"/>
        <v>419545095.55058807</v>
      </c>
      <c r="CS39" s="193">
        <f t="shared" si="43"/>
        <v>425171620.45891058</v>
      </c>
      <c r="CT39" s="193">
        <f t="shared" si="43"/>
        <v>430798145.3672331</v>
      </c>
      <c r="CU39" s="193">
        <f t="shared" si="43"/>
        <v>560581058.94990993</v>
      </c>
    </row>
    <row r="40" spans="2:100" s="101" customFormat="1" ht="11.25" x14ac:dyDescent="0.2">
      <c r="B40" s="101" t="s">
        <v>132</v>
      </c>
      <c r="C40" s="198">
        <f>+MIN(C39:CU39)</f>
        <v>-85456250.174750194</v>
      </c>
      <c r="D40" s="152"/>
      <c r="E40" s="185"/>
      <c r="F40" s="216"/>
      <c r="G40" s="185"/>
      <c r="H40" s="185"/>
      <c r="I40" s="185"/>
      <c r="J40" s="185"/>
      <c r="K40" s="185"/>
      <c r="L40" s="185"/>
      <c r="M40" s="185"/>
      <c r="N40" s="185"/>
      <c r="O40" s="139"/>
      <c r="P40" s="152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39"/>
      <c r="AB40" s="152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39"/>
      <c r="AN40" s="152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39"/>
      <c r="AZ40" s="152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39"/>
      <c r="BL40" s="152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39"/>
      <c r="BX40" s="152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39"/>
      <c r="CJ40" s="152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39"/>
    </row>
    <row r="41" spans="2:100" s="101" customFormat="1" ht="11.25" x14ac:dyDescent="0.2">
      <c r="B41" s="103" t="s">
        <v>115</v>
      </c>
      <c r="C41" s="198">
        <f>+SUM(C37:CU37)</f>
        <v>560581058.94990993</v>
      </c>
      <c r="D41" s="186"/>
      <c r="E41" s="185"/>
      <c r="F41" s="216"/>
      <c r="G41" s="185"/>
      <c r="H41" s="185"/>
      <c r="I41" s="185"/>
      <c r="J41" s="185"/>
      <c r="K41" s="185"/>
      <c r="L41" s="185"/>
      <c r="M41" s="185"/>
      <c r="N41" s="185"/>
      <c r="O41" s="184"/>
      <c r="P41" s="186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4"/>
      <c r="AB41" s="186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4"/>
      <c r="AN41" s="186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4"/>
      <c r="AZ41" s="186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4"/>
      <c r="BL41" s="186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4"/>
      <c r="BX41" s="186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4"/>
      <c r="CJ41" s="186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4"/>
    </row>
    <row r="42" spans="2:100" s="101" customFormat="1" ht="11.25" x14ac:dyDescent="0.2">
      <c r="C42" s="194"/>
      <c r="D42" s="186"/>
      <c r="E42" s="185"/>
      <c r="F42" s="216"/>
      <c r="G42" s="185"/>
      <c r="H42" s="185"/>
      <c r="I42" s="185"/>
      <c r="J42" s="185"/>
      <c r="K42" s="185"/>
      <c r="L42" s="185"/>
      <c r="M42" s="185"/>
      <c r="N42" s="185"/>
      <c r="O42" s="184"/>
      <c r="P42" s="186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4"/>
      <c r="AB42" s="186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4"/>
      <c r="AN42" s="186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4"/>
      <c r="AZ42" s="186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4"/>
      <c r="BL42" s="186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4"/>
      <c r="BX42" s="186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4"/>
      <c r="CJ42" s="186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4"/>
    </row>
    <row r="43" spans="2:100" s="101" customFormat="1" ht="11.25" x14ac:dyDescent="0.2">
      <c r="B43" s="240" t="s">
        <v>67</v>
      </c>
      <c r="C43" s="240"/>
      <c r="F43" s="208"/>
    </row>
    <row r="44" spans="2:100" s="101" customFormat="1" ht="11.25" x14ac:dyDescent="0.2">
      <c r="B44" s="224" t="s">
        <v>73</v>
      </c>
      <c r="C44" s="220">
        <v>0.45</v>
      </c>
      <c r="D44" s="220">
        <v>0.39</v>
      </c>
      <c r="E44" s="220">
        <v>0.34</v>
      </c>
      <c r="F44" s="222">
        <v>0.28000000000000003</v>
      </c>
      <c r="G44" s="220">
        <v>0.26</v>
      </c>
      <c r="H44" s="220">
        <v>0.25</v>
      </c>
      <c r="I44" s="220">
        <v>0.25</v>
      </c>
      <c r="J44" s="220">
        <f>I44</f>
        <v>0.25</v>
      </c>
      <c r="K44" s="220">
        <f t="shared" ref="K44:BV44" si="44">J44</f>
        <v>0.25</v>
      </c>
      <c r="L44" s="220">
        <v>0.23</v>
      </c>
      <c r="M44" s="220">
        <f t="shared" si="44"/>
        <v>0.23</v>
      </c>
      <c r="N44" s="220">
        <f t="shared" si="44"/>
        <v>0.23</v>
      </c>
      <c r="O44" s="220">
        <f t="shared" si="44"/>
        <v>0.23</v>
      </c>
      <c r="P44" s="220">
        <f t="shared" si="44"/>
        <v>0.23</v>
      </c>
      <c r="Q44" s="220">
        <f t="shared" si="44"/>
        <v>0.23</v>
      </c>
      <c r="R44" s="220">
        <f t="shared" si="44"/>
        <v>0.23</v>
      </c>
      <c r="S44" s="220">
        <v>0.22</v>
      </c>
      <c r="T44" s="220">
        <f t="shared" si="44"/>
        <v>0.22</v>
      </c>
      <c r="U44" s="220">
        <f t="shared" si="44"/>
        <v>0.22</v>
      </c>
      <c r="V44" s="220">
        <f t="shared" si="44"/>
        <v>0.22</v>
      </c>
      <c r="W44" s="220">
        <f t="shared" si="44"/>
        <v>0.22</v>
      </c>
      <c r="X44" s="220">
        <f t="shared" si="44"/>
        <v>0.22</v>
      </c>
      <c r="Y44" s="220">
        <f t="shared" si="44"/>
        <v>0.22</v>
      </c>
      <c r="Z44" s="220">
        <f t="shared" si="44"/>
        <v>0.22</v>
      </c>
      <c r="AA44" s="220">
        <f t="shared" si="44"/>
        <v>0.22</v>
      </c>
      <c r="AB44" s="220">
        <f t="shared" si="44"/>
        <v>0.22</v>
      </c>
      <c r="AC44" s="220">
        <f t="shared" si="44"/>
        <v>0.22</v>
      </c>
      <c r="AD44" s="220">
        <f t="shared" si="44"/>
        <v>0.22</v>
      </c>
      <c r="AE44" s="220">
        <f t="shared" si="44"/>
        <v>0.22</v>
      </c>
      <c r="AF44" s="220">
        <f t="shared" si="44"/>
        <v>0.22</v>
      </c>
      <c r="AG44" s="220">
        <f t="shared" si="44"/>
        <v>0.22</v>
      </c>
      <c r="AH44" s="220">
        <f t="shared" si="44"/>
        <v>0.22</v>
      </c>
      <c r="AI44" s="220">
        <f t="shared" si="44"/>
        <v>0.22</v>
      </c>
      <c r="AJ44" s="220">
        <f t="shared" si="44"/>
        <v>0.22</v>
      </c>
      <c r="AK44" s="220">
        <f t="shared" si="44"/>
        <v>0.22</v>
      </c>
      <c r="AL44" s="220">
        <f t="shared" si="44"/>
        <v>0.22</v>
      </c>
      <c r="AM44" s="220">
        <f t="shared" si="44"/>
        <v>0.22</v>
      </c>
      <c r="AN44" s="220">
        <f t="shared" si="44"/>
        <v>0.22</v>
      </c>
      <c r="AO44" s="220">
        <f t="shared" si="44"/>
        <v>0.22</v>
      </c>
      <c r="AP44" s="220">
        <f t="shared" si="44"/>
        <v>0.22</v>
      </c>
      <c r="AQ44" s="220">
        <f t="shared" si="44"/>
        <v>0.22</v>
      </c>
      <c r="AR44" s="220">
        <f t="shared" si="44"/>
        <v>0.22</v>
      </c>
      <c r="AS44" s="220">
        <v>0.21</v>
      </c>
      <c r="AT44" s="220">
        <f t="shared" si="44"/>
        <v>0.21</v>
      </c>
      <c r="AU44" s="220">
        <f t="shared" si="44"/>
        <v>0.21</v>
      </c>
      <c r="AV44" s="220">
        <f t="shared" si="44"/>
        <v>0.21</v>
      </c>
      <c r="AW44" s="220">
        <f t="shared" si="44"/>
        <v>0.21</v>
      </c>
      <c r="AX44" s="220">
        <f t="shared" si="44"/>
        <v>0.21</v>
      </c>
      <c r="AY44" s="220">
        <f t="shared" si="44"/>
        <v>0.21</v>
      </c>
      <c r="AZ44" s="220">
        <f t="shared" si="44"/>
        <v>0.21</v>
      </c>
      <c r="BA44" s="220">
        <f t="shared" si="44"/>
        <v>0.21</v>
      </c>
      <c r="BB44" s="220">
        <f t="shared" si="44"/>
        <v>0.21</v>
      </c>
      <c r="BC44" s="220">
        <f t="shared" si="44"/>
        <v>0.21</v>
      </c>
      <c r="BD44" s="220">
        <f t="shared" si="44"/>
        <v>0.21</v>
      </c>
      <c r="BE44" s="220">
        <f t="shared" si="44"/>
        <v>0.21</v>
      </c>
      <c r="BF44" s="220">
        <f t="shared" si="44"/>
        <v>0.21</v>
      </c>
      <c r="BG44" s="220">
        <v>0.2</v>
      </c>
      <c r="BH44" s="220">
        <f t="shared" si="44"/>
        <v>0.2</v>
      </c>
      <c r="BI44" s="220">
        <f t="shared" si="44"/>
        <v>0.2</v>
      </c>
      <c r="BJ44" s="220">
        <f t="shared" si="44"/>
        <v>0.2</v>
      </c>
      <c r="BK44" s="220">
        <f t="shared" si="44"/>
        <v>0.2</v>
      </c>
      <c r="BL44" s="220">
        <f t="shared" si="44"/>
        <v>0.2</v>
      </c>
      <c r="BM44" s="220">
        <v>0.19</v>
      </c>
      <c r="BN44" s="220">
        <f t="shared" si="44"/>
        <v>0.19</v>
      </c>
      <c r="BO44" s="220">
        <f t="shared" si="44"/>
        <v>0.19</v>
      </c>
      <c r="BP44" s="220">
        <f t="shared" si="44"/>
        <v>0.19</v>
      </c>
      <c r="BQ44" s="220">
        <f t="shared" si="44"/>
        <v>0.19</v>
      </c>
      <c r="BR44" s="220">
        <f t="shared" si="44"/>
        <v>0.19</v>
      </c>
      <c r="BS44" s="220">
        <v>0.18</v>
      </c>
      <c r="BT44" s="220">
        <f t="shared" si="44"/>
        <v>0.18</v>
      </c>
      <c r="BU44" s="220">
        <f t="shared" si="44"/>
        <v>0.18</v>
      </c>
      <c r="BV44" s="220">
        <f t="shared" si="44"/>
        <v>0.18</v>
      </c>
      <c r="BW44" s="220">
        <v>0.17</v>
      </c>
      <c r="BX44" s="220">
        <f t="shared" ref="BX44:CU44" si="45">BW44</f>
        <v>0.17</v>
      </c>
      <c r="BY44" s="220">
        <f t="shared" si="45"/>
        <v>0.17</v>
      </c>
      <c r="BZ44" s="220">
        <f t="shared" si="45"/>
        <v>0.17</v>
      </c>
      <c r="CA44" s="220">
        <f t="shared" si="45"/>
        <v>0.17</v>
      </c>
      <c r="CB44" s="220">
        <v>0.16</v>
      </c>
      <c r="CC44" s="220">
        <f t="shared" si="45"/>
        <v>0.16</v>
      </c>
      <c r="CD44" s="220">
        <f t="shared" si="45"/>
        <v>0.16</v>
      </c>
      <c r="CE44" s="220">
        <v>0.15</v>
      </c>
      <c r="CF44" s="220">
        <f t="shared" si="45"/>
        <v>0.15</v>
      </c>
      <c r="CG44" s="220">
        <f t="shared" si="45"/>
        <v>0.15</v>
      </c>
      <c r="CH44" s="220">
        <v>0.14000000000000001</v>
      </c>
      <c r="CI44" s="220">
        <f t="shared" si="45"/>
        <v>0.14000000000000001</v>
      </c>
      <c r="CJ44" s="220">
        <f t="shared" si="45"/>
        <v>0.14000000000000001</v>
      </c>
      <c r="CK44" s="220">
        <v>0.13</v>
      </c>
      <c r="CL44" s="220">
        <f t="shared" si="45"/>
        <v>0.13</v>
      </c>
      <c r="CM44" s="220">
        <f t="shared" si="45"/>
        <v>0.13</v>
      </c>
      <c r="CN44" s="220">
        <f t="shared" si="45"/>
        <v>0.13</v>
      </c>
      <c r="CO44" s="220">
        <v>0.12</v>
      </c>
      <c r="CP44" s="220">
        <f t="shared" si="45"/>
        <v>0.12</v>
      </c>
      <c r="CQ44" s="220">
        <f t="shared" si="45"/>
        <v>0.12</v>
      </c>
      <c r="CR44" s="220">
        <f t="shared" si="45"/>
        <v>0.12</v>
      </c>
      <c r="CS44" s="220">
        <v>0.11</v>
      </c>
      <c r="CT44" s="220">
        <f t="shared" si="45"/>
        <v>0.11</v>
      </c>
      <c r="CU44" s="220">
        <f t="shared" si="45"/>
        <v>0.11</v>
      </c>
    </row>
    <row r="45" spans="2:100" s="101" customFormat="1" ht="11.25" x14ac:dyDescent="0.2">
      <c r="B45" s="224" t="s">
        <v>63</v>
      </c>
      <c r="C45" s="221">
        <f>NPV(C44/24,D37:CU37)</f>
        <v>224050666.25836512</v>
      </c>
      <c r="D45" s="221">
        <f t="shared" ref="D45:BO45" si="46">NPV(D44/24,E37:CV37)</f>
        <v>256061068.38047847</v>
      </c>
      <c r="E45" s="221">
        <f t="shared" si="46"/>
        <v>286858468.68997431</v>
      </c>
      <c r="F45" s="223">
        <f t="shared" si="46"/>
        <v>333137305.52504754</v>
      </c>
      <c r="G45" s="221">
        <f t="shared" si="46"/>
        <v>378058192.3789261</v>
      </c>
      <c r="H45" s="221">
        <f t="shared" si="46"/>
        <v>385179694.19261885</v>
      </c>
      <c r="I45" s="221">
        <f t="shared" si="46"/>
        <v>385252561.95287049</v>
      </c>
      <c r="J45" s="221">
        <f t="shared" si="46"/>
        <v>385326188.75229138</v>
      </c>
      <c r="K45" s="221">
        <f t="shared" si="46"/>
        <v>385400582.49753964</v>
      </c>
      <c r="L45" s="221">
        <f t="shared" si="46"/>
        <v>399252702.55076993</v>
      </c>
      <c r="M45" s="221">
        <f t="shared" si="46"/>
        <v>399139453.5626266</v>
      </c>
      <c r="N45" s="221">
        <f t="shared" si="46"/>
        <v>399025119.27168012</v>
      </c>
      <c r="O45" s="221">
        <f t="shared" si="46"/>
        <v>398909689.27711219</v>
      </c>
      <c r="P45" s="221">
        <f t="shared" si="46"/>
        <v>397106048.89102864</v>
      </c>
      <c r="Q45" s="221">
        <f t="shared" si="46"/>
        <v>395285123.61791188</v>
      </c>
      <c r="R45" s="221">
        <f t="shared" si="46"/>
        <v>393446747.81092775</v>
      </c>
      <c r="S45" s="221">
        <f t="shared" si="46"/>
        <v>398040713.18927801</v>
      </c>
      <c r="T45" s="221">
        <f t="shared" si="46"/>
        <v>396062894.81852406</v>
      </c>
      <c r="U45" s="221">
        <f t="shared" si="46"/>
        <v>394066946.44603807</v>
      </c>
      <c r="V45" s="221">
        <f t="shared" si="46"/>
        <v>397473480.68832451</v>
      </c>
      <c r="W45" s="221">
        <f t="shared" si="46"/>
        <v>395490462.68631178</v>
      </c>
      <c r="X45" s="221">
        <f t="shared" si="46"/>
        <v>393489267.01928055</v>
      </c>
      <c r="Y45" s="221">
        <f t="shared" si="46"/>
        <v>391469727.05863482</v>
      </c>
      <c r="Z45" s="221">
        <f t="shared" si="46"/>
        <v>389431674.64834988</v>
      </c>
      <c r="AA45" s="221">
        <f t="shared" si="46"/>
        <v>263218551.41661623</v>
      </c>
      <c r="AB45" s="221">
        <f t="shared" si="46"/>
        <v>273514191.27363575</v>
      </c>
      <c r="AC45" s="221">
        <f t="shared" si="46"/>
        <v>283904207.82934457</v>
      </c>
      <c r="AD45" s="221">
        <f t="shared" si="46"/>
        <v>294389466.20348066</v>
      </c>
      <c r="AE45" s="221">
        <f t="shared" si="46"/>
        <v>293148615.58942443</v>
      </c>
      <c r="AF45" s="221">
        <f t="shared" si="46"/>
        <v>291896390.51140594</v>
      </c>
      <c r="AG45" s="221">
        <f t="shared" si="46"/>
        <v>290632686.70350569</v>
      </c>
      <c r="AH45" s="221">
        <f t="shared" si="46"/>
        <v>289357398.94403297</v>
      </c>
      <c r="AI45" s="221">
        <f t="shared" si="46"/>
        <v>288070421.04676509</v>
      </c>
      <c r="AJ45" s="221">
        <f t="shared" si="46"/>
        <v>286771645.85210562</v>
      </c>
      <c r="AK45" s="221">
        <f t="shared" si="46"/>
        <v>285460965.2181617</v>
      </c>
      <c r="AL45" s="221">
        <f t="shared" si="46"/>
        <v>284138270.01173997</v>
      </c>
      <c r="AM45" s="221">
        <f t="shared" si="46"/>
        <v>282803450.09925944</v>
      </c>
      <c r="AN45" s="221">
        <f t="shared" si="46"/>
        <v>334807102.65018022</v>
      </c>
      <c r="AO45" s="221">
        <f t="shared" si="46"/>
        <v>332249642.84948438</v>
      </c>
      <c r="AP45" s="221">
        <f t="shared" si="46"/>
        <v>329668739.66728222</v>
      </c>
      <c r="AQ45" s="221">
        <f t="shared" si="46"/>
        <v>327064178.20590991</v>
      </c>
      <c r="AR45" s="221">
        <f t="shared" si="46"/>
        <v>324435741.59780818</v>
      </c>
      <c r="AS45" s="221">
        <f t="shared" si="46"/>
        <v>326095350.86502081</v>
      </c>
      <c r="AT45" s="221">
        <f t="shared" si="46"/>
        <v>323322160.27676725</v>
      </c>
      <c r="AU45" s="221">
        <f t="shared" si="46"/>
        <v>320524704.27086651</v>
      </c>
      <c r="AV45" s="221">
        <f t="shared" si="46"/>
        <v>317702770.52491409</v>
      </c>
      <c r="AW45" s="221">
        <f t="shared" si="46"/>
        <v>314856144.85868472</v>
      </c>
      <c r="AX45" s="221">
        <f t="shared" si="46"/>
        <v>311984611.21787572</v>
      </c>
      <c r="AY45" s="221">
        <f t="shared" si="46"/>
        <v>184931562.98335537</v>
      </c>
      <c r="AZ45" s="221">
        <f t="shared" si="46"/>
        <v>254974111.0451602</v>
      </c>
      <c r="BA45" s="221">
        <f t="shared" si="46"/>
        <v>265087937.65250582</v>
      </c>
      <c r="BB45" s="221">
        <f t="shared" si="46"/>
        <v>275290260.24266571</v>
      </c>
      <c r="BC45" s="221">
        <f t="shared" si="46"/>
        <v>273759629.29886752</v>
      </c>
      <c r="BD45" s="221">
        <f t="shared" si="46"/>
        <v>272215605.33431113</v>
      </c>
      <c r="BE45" s="221">
        <f t="shared" si="46"/>
        <v>270658071.16006488</v>
      </c>
      <c r="BF45" s="221">
        <f t="shared" si="46"/>
        <v>269086908.56179386</v>
      </c>
      <c r="BG45" s="221">
        <f t="shared" si="46"/>
        <v>270678786.94083101</v>
      </c>
      <c r="BH45" s="221">
        <f t="shared" si="46"/>
        <v>268995022.77774966</v>
      </c>
      <c r="BI45" s="221">
        <f t="shared" si="46"/>
        <v>267297227.24664274</v>
      </c>
      <c r="BJ45" s="221">
        <f t="shared" si="46"/>
        <v>265585283.41944316</v>
      </c>
      <c r="BK45" s="221">
        <f t="shared" si="46"/>
        <v>263859073.39368361</v>
      </c>
      <c r="BL45" s="221">
        <f t="shared" si="46"/>
        <v>327027127.22197515</v>
      </c>
      <c r="BM45" s="221">
        <f t="shared" si="46"/>
        <v>326795651.83867586</v>
      </c>
      <c r="BN45" s="221">
        <f t="shared" si="46"/>
        <v>323756259.17407614</v>
      </c>
      <c r="BO45" s="221">
        <f t="shared" si="46"/>
        <v>320692804.65088177</v>
      </c>
      <c r="BP45" s="221">
        <f t="shared" ref="BP45:CU45" si="47">NPV(BP44/24,BQ37:FH37)</f>
        <v>317605097.77937877</v>
      </c>
      <c r="BQ45" s="221">
        <f t="shared" si="47"/>
        <v>314492946.5618096</v>
      </c>
      <c r="BR45" s="221">
        <f t="shared" si="47"/>
        <v>311356157.48043478</v>
      </c>
      <c r="BS45" s="221">
        <f t="shared" si="47"/>
        <v>310206047.94240695</v>
      </c>
      <c r="BT45" s="221">
        <f t="shared" si="47"/>
        <v>306906068.39365256</v>
      </c>
      <c r="BU45" s="221">
        <f t="shared" si="47"/>
        <v>303581338.99828249</v>
      </c>
      <c r="BV45" s="221">
        <f t="shared" si="47"/>
        <v>300231674.13244706</v>
      </c>
      <c r="BW45" s="221">
        <f t="shared" si="47"/>
        <v>174276404.73251474</v>
      </c>
      <c r="BX45" s="221">
        <f t="shared" si="47"/>
        <v>183393665.73507056</v>
      </c>
      <c r="BY45" s="221">
        <f t="shared" si="47"/>
        <v>192575507.33639446</v>
      </c>
      <c r="BZ45" s="221">
        <f t="shared" si="47"/>
        <v>201822386.9823944</v>
      </c>
      <c r="CA45" s="221">
        <f t="shared" si="47"/>
        <v>199312541.50259817</v>
      </c>
      <c r="CB45" s="221">
        <f t="shared" si="47"/>
        <v>198027960.93935528</v>
      </c>
      <c r="CC45" s="221">
        <f t="shared" si="47"/>
        <v>195408726.62469611</v>
      </c>
      <c r="CD45" s="221">
        <f t="shared" si="47"/>
        <v>192772030.74793923</v>
      </c>
      <c r="CE45" s="221">
        <f t="shared" si="47"/>
        <v>191148039.9377895</v>
      </c>
      <c r="CF45" s="221">
        <f t="shared" si="47"/>
        <v>188403294.46647915</v>
      </c>
      <c r="CG45" s="221">
        <f t="shared" si="47"/>
        <v>185641394.33597308</v>
      </c>
      <c r="CH45" s="221">
        <f t="shared" si="47"/>
        <v>183680570.32207444</v>
      </c>
      <c r="CI45" s="221">
        <f t="shared" si="47"/>
        <v>180812619.59469837</v>
      </c>
      <c r="CJ45" s="221">
        <f t="shared" si="47"/>
        <v>176240834.96734494</v>
      </c>
      <c r="CK45" s="221">
        <f t="shared" si="47"/>
        <v>172252040.49442005</v>
      </c>
      <c r="CL45" s="221">
        <f t="shared" si="47"/>
        <v>167558547.47210896</v>
      </c>
      <c r="CM45" s="221">
        <f t="shared" si="47"/>
        <v>162839631.36259374</v>
      </c>
      <c r="CN45" s="221">
        <f t="shared" si="47"/>
        <v>158095154.45748532</v>
      </c>
      <c r="CO45" s="221">
        <f t="shared" si="47"/>
        <v>153672173.43367708</v>
      </c>
      <c r="CP45" s="221">
        <f t="shared" si="47"/>
        <v>148814009.39252293</v>
      </c>
      <c r="CQ45" s="221">
        <f t="shared" si="47"/>
        <v>143931554.53116307</v>
      </c>
      <c r="CR45" s="221">
        <f t="shared" si="47"/>
        <v>139024687.39549637</v>
      </c>
      <c r="CS45" s="221">
        <f t="shared" si="47"/>
        <v>134202220.53004602</v>
      </c>
      <c r="CT45" s="221">
        <f t="shared" si="47"/>
        <v>129190789.13248624</v>
      </c>
      <c r="CU45" s="221">
        <f t="shared" si="47"/>
        <v>0</v>
      </c>
    </row>
    <row r="46" spans="2:100" s="101" customFormat="1" ht="11.25" x14ac:dyDescent="0.2">
      <c r="B46" s="224"/>
      <c r="C46" s="221"/>
      <c r="D46" s="221"/>
      <c r="E46" s="221"/>
      <c r="F46" s="223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</row>
    <row r="47" spans="2:100" s="101" customFormat="1" ht="11.25" x14ac:dyDescent="0.2">
      <c r="B47" s="206" t="s">
        <v>150</v>
      </c>
      <c r="C47" s="225">
        <f>C45/C49</f>
        <v>22405.066625836513</v>
      </c>
      <c r="D47" s="219">
        <f>D45/D49</f>
        <v>25606.106838047846</v>
      </c>
      <c r="E47" s="219">
        <f t="shared" ref="E47:BP47" si="48">E45/E49</f>
        <v>28685.846868997432</v>
      </c>
      <c r="F47" s="219">
        <f t="shared" si="48"/>
        <v>32695.874970398105</v>
      </c>
      <c r="G47" s="219">
        <f t="shared" si="48"/>
        <v>34275.172374103255</v>
      </c>
      <c r="H47" s="219">
        <f t="shared" si="48"/>
        <v>35288.527103165259</v>
      </c>
      <c r="I47" s="219">
        <f t="shared" si="48"/>
        <v>35659.914285123377</v>
      </c>
      <c r="J47" s="219">
        <f t="shared" si="48"/>
        <v>36035.209325140087</v>
      </c>
      <c r="K47" s="219">
        <f t="shared" si="48"/>
        <v>36414.453327828734</v>
      </c>
      <c r="L47" s="219">
        <f t="shared" si="48"/>
        <v>38112.841777476198</v>
      </c>
      <c r="M47" s="219">
        <f t="shared" si="48"/>
        <v>38481.729655945201</v>
      </c>
      <c r="N47" s="219">
        <f t="shared" si="48"/>
        <v>38854.18899217173</v>
      </c>
      <c r="O47" s="219">
        <f t="shared" si="48"/>
        <v>39230.254384898079</v>
      </c>
      <c r="P47" s="219">
        <f t="shared" si="48"/>
        <v>39611.589631048839</v>
      </c>
      <c r="Q47" s="219">
        <f t="shared" si="48"/>
        <v>39996.656644302122</v>
      </c>
      <c r="R47" s="219">
        <f t="shared" si="48"/>
        <v>40385.492664924823</v>
      </c>
      <c r="S47" s="219">
        <f t="shared" si="48"/>
        <v>41449.799039706144</v>
      </c>
      <c r="T47" s="219">
        <f t="shared" si="48"/>
        <v>41835.203434485054</v>
      </c>
      <c r="U47" s="219">
        <f t="shared" si="48"/>
        <v>42224.219211873111</v>
      </c>
      <c r="V47" s="219">
        <f t="shared" si="48"/>
        <v>42611.476745489555</v>
      </c>
      <c r="W47" s="219">
        <f t="shared" si="48"/>
        <v>43007.690643594746</v>
      </c>
      <c r="X47" s="219">
        <f t="shared" si="48"/>
        <v>43407.617447236233</v>
      </c>
      <c r="Y47" s="219">
        <f t="shared" si="48"/>
        <v>43811.292783244404</v>
      </c>
      <c r="Z47" s="219">
        <f t="shared" si="48"/>
        <v>44218.752648754482</v>
      </c>
      <c r="AA47" s="219">
        <f t="shared" si="48"/>
        <v>44826.695763477597</v>
      </c>
      <c r="AB47" s="219">
        <f t="shared" si="48"/>
        <v>45225.659087774242</v>
      </c>
      <c r="AC47" s="219">
        <f t="shared" si="48"/>
        <v>45628.614277937522</v>
      </c>
      <c r="AD47" s="219">
        <f t="shared" si="48"/>
        <v>46035.576965746826</v>
      </c>
      <c r="AE47" s="219">
        <f t="shared" si="48"/>
        <v>46463.29331072334</v>
      </c>
      <c r="AF47" s="219">
        <f t="shared" si="48"/>
        <v>46895.008351444201</v>
      </c>
      <c r="AG47" s="219">
        <f t="shared" si="48"/>
        <v>47330.760148226655</v>
      </c>
      <c r="AH47" s="219">
        <f t="shared" si="48"/>
        <v>47770.587145101352</v>
      </c>
      <c r="AI47" s="219">
        <f t="shared" si="48"/>
        <v>48214.528174477222</v>
      </c>
      <c r="AJ47" s="219">
        <f t="shared" si="48"/>
        <v>48662.622461896623</v>
      </c>
      <c r="AK47" s="219">
        <f t="shared" si="48"/>
        <v>49114.909630884213</v>
      </c>
      <c r="AL47" s="219">
        <f t="shared" si="48"/>
        <v>49571.429707892908</v>
      </c>
      <c r="AM47" s="219">
        <f t="shared" si="48"/>
        <v>50032.223127350342</v>
      </c>
      <c r="AN47" s="219">
        <f t="shared" si="48"/>
        <v>50422.638624777937</v>
      </c>
      <c r="AO47" s="219">
        <f t="shared" si="48"/>
        <v>50892.74643581389</v>
      </c>
      <c r="AP47" s="219">
        <f t="shared" si="48"/>
        <v>51367.29966163537</v>
      </c>
      <c r="AQ47" s="219">
        <f t="shared" si="48"/>
        <v>51846.342498882565</v>
      </c>
      <c r="AR47" s="219">
        <f t="shared" si="48"/>
        <v>52329.919675546531</v>
      </c>
      <c r="AS47" s="219">
        <f t="shared" si="48"/>
        <v>53525.878876821349</v>
      </c>
      <c r="AT47" s="219">
        <f t="shared" si="48"/>
        <v>54002.453241754192</v>
      </c>
      <c r="AU47" s="219">
        <f t="shared" si="48"/>
        <v>54483.343263877257</v>
      </c>
      <c r="AV47" s="219">
        <f t="shared" si="48"/>
        <v>54968.590601043732</v>
      </c>
      <c r="AW47" s="219">
        <f t="shared" si="48"/>
        <v>55458.237427731416</v>
      </c>
      <c r="AX47" s="219">
        <f t="shared" si="48"/>
        <v>55952.326447565982</v>
      </c>
      <c r="AY47" s="219">
        <f t="shared" si="48"/>
        <v>56790.640904019434</v>
      </c>
      <c r="AZ47" s="219">
        <f t="shared" si="48"/>
        <v>57153.355254287948</v>
      </c>
      <c r="BA47" s="219">
        <f t="shared" si="48"/>
        <v>57638.44988249262</v>
      </c>
      <c r="BB47" s="219">
        <f t="shared" si="48"/>
        <v>58128.222176187119</v>
      </c>
      <c r="BC47" s="219">
        <f t="shared" si="48"/>
        <v>58644.228198453857</v>
      </c>
      <c r="BD47" s="219">
        <f t="shared" si="48"/>
        <v>59164.85708220752</v>
      </c>
      <c r="BE47" s="219">
        <f t="shared" si="48"/>
        <v>59690.151481049375</v>
      </c>
      <c r="BF47" s="219">
        <f t="shared" si="48"/>
        <v>60220.154485543018</v>
      </c>
      <c r="BG47" s="219">
        <f t="shared" si="48"/>
        <v>61476.420154954765</v>
      </c>
      <c r="BH47" s="219">
        <f t="shared" si="48"/>
        <v>61996.289764904788</v>
      </c>
      <c r="BI47" s="219">
        <f t="shared" si="48"/>
        <v>62520.604073803122</v>
      </c>
      <c r="BJ47" s="219">
        <f t="shared" si="48"/>
        <v>63049.402527865037</v>
      </c>
      <c r="BK47" s="219">
        <f t="shared" si="48"/>
        <v>63582.724975845151</v>
      </c>
      <c r="BL47" s="219">
        <f t="shared" si="48"/>
        <v>64013.128741280583</v>
      </c>
      <c r="BM47" s="219">
        <f t="shared" si="48"/>
        <v>65087.656907453296</v>
      </c>
      <c r="BN47" s="219">
        <f t="shared" si="48"/>
        <v>65611.961274635381</v>
      </c>
      <c r="BO47" s="219">
        <f t="shared" si="48"/>
        <v>66140.576040059052</v>
      </c>
      <c r="BP47" s="219">
        <f t="shared" si="48"/>
        <v>66673.539731233308</v>
      </c>
      <c r="BQ47" s="219">
        <f t="shared" ref="BQ47:CU47" si="49">BQ45/BQ49</f>
        <v>67210.891359669971</v>
      </c>
      <c r="BR47" s="219">
        <f t="shared" si="49"/>
        <v>67752.670434531639</v>
      </c>
      <c r="BS47" s="219">
        <f t="shared" si="49"/>
        <v>68744.687769456184</v>
      </c>
      <c r="BT47" s="219">
        <f t="shared" si="49"/>
        <v>69269.797378702919</v>
      </c>
      <c r="BU47" s="219">
        <f t="shared" si="49"/>
        <v>69799.023183232814</v>
      </c>
      <c r="BV47" s="219">
        <f t="shared" si="49"/>
        <v>70332.401398234724</v>
      </c>
      <c r="BW47" s="219">
        <f t="shared" si="49"/>
        <v>71911.805121688609</v>
      </c>
      <c r="BX47" s="219">
        <f t="shared" si="49"/>
        <v>72399.137574388224</v>
      </c>
      <c r="BY47" s="219">
        <f t="shared" si="49"/>
        <v>72890.830385021574</v>
      </c>
      <c r="BZ47" s="219">
        <f t="shared" si="49"/>
        <v>73386.837107368323</v>
      </c>
      <c r="CA47" s="219">
        <f t="shared" si="49"/>
        <v>73917.009094049412</v>
      </c>
      <c r="CB47" s="219">
        <f t="shared" si="49"/>
        <v>74921.43510359076</v>
      </c>
      <c r="CC47" s="219">
        <f t="shared" si="49"/>
        <v>75431.049221199719</v>
      </c>
      <c r="CD47" s="219">
        <f t="shared" si="49"/>
        <v>75944.269350024188</v>
      </c>
      <c r="CE47" s="219">
        <f t="shared" si="49"/>
        <v>76875.483682016944</v>
      </c>
      <c r="CF47" s="219">
        <f t="shared" si="49"/>
        <v>77366.065996234029</v>
      </c>
      <c r="CG47" s="219">
        <f t="shared" si="49"/>
        <v>77859.930371193812</v>
      </c>
      <c r="CH47" s="219">
        <f t="shared" si="49"/>
        <v>78707.76597130594</v>
      </c>
      <c r="CI47" s="219">
        <f t="shared" si="49"/>
        <v>79176.957415137193</v>
      </c>
      <c r="CJ47" s="219">
        <f t="shared" si="49"/>
        <v>79653.656929786564</v>
      </c>
      <c r="CK47" s="219">
        <f t="shared" si="49"/>
        <v>80418.254097512443</v>
      </c>
      <c r="CL47" s="219">
        <f t="shared" si="49"/>
        <v>80868.562053208312</v>
      </c>
      <c r="CM47" s="219">
        <f t="shared" si="49"/>
        <v>81321.820261833913</v>
      </c>
      <c r="CN47" s="219">
        <f t="shared" si="49"/>
        <v>81778.078335969403</v>
      </c>
      <c r="CO47" s="219">
        <f t="shared" si="49"/>
        <v>82423.611166949879</v>
      </c>
      <c r="CP47" s="219">
        <f t="shared" si="49"/>
        <v>82851.391908783276</v>
      </c>
      <c r="CQ47" s="219">
        <f t="shared" si="49"/>
        <v>83281.927016586575</v>
      </c>
      <c r="CR47" s="219">
        <f t="shared" si="49"/>
        <v>83715.277027520235</v>
      </c>
      <c r="CS47" s="219">
        <f t="shared" si="49"/>
        <v>84219.87124793703</v>
      </c>
      <c r="CT47" s="219">
        <f t="shared" si="49"/>
        <v>84622.770847518317</v>
      </c>
      <c r="CU47" s="219">
        <f t="shared" si="49"/>
        <v>0</v>
      </c>
    </row>
    <row r="48" spans="2:100" s="101" customFormat="1" ht="11.25" x14ac:dyDescent="0.2">
      <c r="B48" s="206"/>
      <c r="C48" s="225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</row>
    <row r="49" spans="2:99" s="101" customFormat="1" ht="11.25" x14ac:dyDescent="0.2">
      <c r="B49" s="43" t="s">
        <v>151</v>
      </c>
      <c r="C49" s="206">
        <v>10000</v>
      </c>
      <c r="D49" s="206">
        <f>C49+D50</f>
        <v>10000</v>
      </c>
      <c r="E49" s="206">
        <f t="shared" ref="E49:BP49" si="50">D49+E50</f>
        <v>10000</v>
      </c>
      <c r="F49" s="206">
        <f t="shared" si="50"/>
        <v>10188.970499387473</v>
      </c>
      <c r="G49" s="206">
        <f t="shared" si="50"/>
        <v>11030.088725813952</v>
      </c>
      <c r="H49" s="206">
        <f t="shared" si="50"/>
        <v>10915.153615410307</v>
      </c>
      <c r="I49" s="206">
        <f t="shared" si="50"/>
        <v>10803.5190122033</v>
      </c>
      <c r="J49" s="206">
        <f t="shared" si="50"/>
        <v>10693.047049499648</v>
      </c>
      <c r="K49" s="206">
        <f t="shared" si="50"/>
        <v>10583.725616526226</v>
      </c>
      <c r="L49" s="206">
        <f t="shared" si="50"/>
        <v>10475.542728664199</v>
      </c>
      <c r="M49" s="206">
        <f t="shared" si="50"/>
        <v>10372.180697989024</v>
      </c>
      <c r="N49" s="206">
        <f t="shared" si="50"/>
        <v>10269.809501160222</v>
      </c>
      <c r="O49" s="206">
        <f t="shared" si="50"/>
        <v>10168.419642740702</v>
      </c>
      <c r="P49" s="206">
        <f t="shared" si="50"/>
        <v>10024.996537371077</v>
      </c>
      <c r="Q49" s="206">
        <f t="shared" si="50"/>
        <v>9882.9541462242123</v>
      </c>
      <c r="R49" s="206">
        <f t="shared" si="50"/>
        <v>9742.2792653620381</v>
      </c>
      <c r="S49" s="206">
        <f t="shared" si="50"/>
        <v>9602.9588179180682</v>
      </c>
      <c r="T49" s="206">
        <f t="shared" si="50"/>
        <v>9467.2157012160387</v>
      </c>
      <c r="U49" s="206">
        <f t="shared" si="50"/>
        <v>9332.7231101346115</v>
      </c>
      <c r="V49" s="206">
        <f t="shared" si="50"/>
        <v>9327.8504066488913</v>
      </c>
      <c r="W49" s="206">
        <f t="shared" si="50"/>
        <v>9195.8079303477607</v>
      </c>
      <c r="X49" s="206">
        <f t="shared" si="50"/>
        <v>9064.9819123932139</v>
      </c>
      <c r="Y49" s="206">
        <f t="shared" si="50"/>
        <v>8935.3612319870208</v>
      </c>
      <c r="Z49" s="206">
        <f t="shared" si="50"/>
        <v>8806.9348708622856</v>
      </c>
      <c r="AA49" s="206">
        <f t="shared" si="50"/>
        <v>5871.9150928601939</v>
      </c>
      <c r="AB49" s="206">
        <f t="shared" si="50"/>
        <v>6047.7657327845172</v>
      </c>
      <c r="AC49" s="206">
        <f t="shared" si="50"/>
        <v>6222.0650861759514</v>
      </c>
      <c r="AD49" s="206">
        <f t="shared" si="50"/>
        <v>6394.8251679896121</v>
      </c>
      <c r="AE49" s="206">
        <f t="shared" si="50"/>
        <v>6309.2517706179942</v>
      </c>
      <c r="AF49" s="206">
        <f t="shared" si="50"/>
        <v>6224.4661163903293</v>
      </c>
      <c r="AG49" s="206">
        <f t="shared" si="50"/>
        <v>6140.4609981611475</v>
      </c>
      <c r="AH49" s="206">
        <f t="shared" si="50"/>
        <v>6057.2292751001951</v>
      </c>
      <c r="AI49" s="206">
        <f t="shared" si="50"/>
        <v>5974.763872090688</v>
      </c>
      <c r="AJ49" s="206">
        <f t="shared" si="50"/>
        <v>5893.0577791332771</v>
      </c>
      <c r="AK49" s="206">
        <f t="shared" si="50"/>
        <v>5812.1040507556881</v>
      </c>
      <c r="AL49" s="206">
        <f t="shared" si="50"/>
        <v>5731.8958054279929</v>
      </c>
      <c r="AM49" s="206">
        <f t="shared" si="50"/>
        <v>5652.4262249834674</v>
      </c>
      <c r="AN49" s="206">
        <f t="shared" si="50"/>
        <v>6640.0155125093816</v>
      </c>
      <c r="AO49" s="206">
        <f t="shared" si="50"/>
        <v>6528.4282362029489</v>
      </c>
      <c r="AP49" s="206">
        <f t="shared" si="50"/>
        <v>6417.8717168093908</v>
      </c>
      <c r="AQ49" s="206">
        <f t="shared" si="50"/>
        <v>6308.3365661321059</v>
      </c>
      <c r="AR49" s="206">
        <f t="shared" si="50"/>
        <v>6199.81348355509</v>
      </c>
      <c r="AS49" s="206">
        <f t="shared" si="50"/>
        <v>6092.2932552954671</v>
      </c>
      <c r="AT49" s="206">
        <f t="shared" si="50"/>
        <v>5987.1754127417598</v>
      </c>
      <c r="AU49" s="206">
        <f t="shared" si="50"/>
        <v>5882.9852404335852</v>
      </c>
      <c r="AV49" s="206">
        <f t="shared" si="50"/>
        <v>5779.7146888987472</v>
      </c>
      <c r="AW49" s="206">
        <f t="shared" si="50"/>
        <v>5677.3557808969172</v>
      </c>
      <c r="AX49" s="206">
        <f t="shared" si="50"/>
        <v>5575.9006108573985</v>
      </c>
      <c r="AY49" s="206">
        <f t="shared" si="50"/>
        <v>3256.3739383731199</v>
      </c>
      <c r="AZ49" s="206">
        <f t="shared" si="50"/>
        <v>4461.227340209929</v>
      </c>
      <c r="BA49" s="206">
        <f t="shared" si="50"/>
        <v>4599.1510561602545</v>
      </c>
      <c r="BB49" s="206">
        <f t="shared" si="50"/>
        <v>4735.9139835424294</v>
      </c>
      <c r="BC49" s="206">
        <f t="shared" si="50"/>
        <v>4668.1427603149041</v>
      </c>
      <c r="BD49" s="206">
        <f t="shared" si="50"/>
        <v>4600.967850832074</v>
      </c>
      <c r="BE49" s="206">
        <f t="shared" si="50"/>
        <v>4534.3840557347939</v>
      </c>
      <c r="BF49" s="206">
        <f t="shared" si="50"/>
        <v>4468.3862215330792</v>
      </c>
      <c r="BG49" s="206">
        <f t="shared" si="50"/>
        <v>4402.969240215516</v>
      </c>
      <c r="BH49" s="206">
        <f t="shared" si="50"/>
        <v>4338.8890496157383</v>
      </c>
      <c r="BI49" s="206">
        <f t="shared" si="50"/>
        <v>4275.3462031670206</v>
      </c>
      <c r="BJ49" s="206">
        <f t="shared" si="50"/>
        <v>4212.3362438219183</v>
      </c>
      <c r="BK49" s="206">
        <f t="shared" si="50"/>
        <v>4149.8547521189557</v>
      </c>
      <c r="BL49" s="206">
        <f t="shared" si="50"/>
        <v>5108.7508711487635</v>
      </c>
      <c r="BM49" s="206">
        <f t="shared" si="50"/>
        <v>5020.8544502276272</v>
      </c>
      <c r="BN49" s="206">
        <f t="shared" si="50"/>
        <v>4934.4091059694565</v>
      </c>
      <c r="BO49" s="206">
        <f t="shared" si="50"/>
        <v>4848.6545453829922</v>
      </c>
      <c r="BP49" s="206">
        <f t="shared" si="50"/>
        <v>4763.5853602444367</v>
      </c>
      <c r="BQ49" s="206">
        <f t="shared" ref="BQ49:CU49" si="51">BP49+BQ50</f>
        <v>4679.1961868031658</v>
      </c>
      <c r="BR49" s="206">
        <f t="shared" si="51"/>
        <v>4595.4817054966625</v>
      </c>
      <c r="BS49" s="206">
        <f t="shared" si="51"/>
        <v>4512.436640671368</v>
      </c>
      <c r="BT49" s="206">
        <f t="shared" si="51"/>
        <v>4430.5899541725985</v>
      </c>
      <c r="BU49" s="206">
        <f t="shared" si="51"/>
        <v>4349.3637181903869</v>
      </c>
      <c r="BV49" s="206">
        <f t="shared" si="51"/>
        <v>4268.7533507135813</v>
      </c>
      <c r="BW49" s="206">
        <f t="shared" si="51"/>
        <v>2423.4742047930176</v>
      </c>
      <c r="BX49" s="206">
        <f t="shared" si="51"/>
        <v>2533.0918555022613</v>
      </c>
      <c r="BY49" s="206">
        <f t="shared" si="51"/>
        <v>2641.9716488230188</v>
      </c>
      <c r="BZ49" s="206">
        <f t="shared" si="51"/>
        <v>2750.116981974832</v>
      </c>
      <c r="CA49" s="206">
        <f t="shared" si="51"/>
        <v>2696.4367734224729</v>
      </c>
      <c r="CB49" s="206">
        <f t="shared" si="51"/>
        <v>2643.1415877919349</v>
      </c>
      <c r="CC49" s="206">
        <f t="shared" si="51"/>
        <v>2590.5608982272638</v>
      </c>
      <c r="CD49" s="206">
        <f t="shared" si="51"/>
        <v>2538.3354451599293</v>
      </c>
      <c r="CE49" s="206">
        <f t="shared" si="51"/>
        <v>2486.4629239725186</v>
      </c>
      <c r="CF49" s="206">
        <f t="shared" si="51"/>
        <v>2435.218749207826</v>
      </c>
      <c r="CG49" s="206">
        <f t="shared" si="51"/>
        <v>2384.2995164641925</v>
      </c>
      <c r="CH49" s="206">
        <f t="shared" si="51"/>
        <v>2333.7032636530157</v>
      </c>
      <c r="CI49" s="206">
        <f t="shared" si="51"/>
        <v>2283.6520308133272</v>
      </c>
      <c r="CJ49" s="206">
        <f t="shared" si="51"/>
        <v>2212.5893745556268</v>
      </c>
      <c r="CK49" s="206">
        <f t="shared" si="51"/>
        <v>2141.9520036527165</v>
      </c>
      <c r="CL49" s="206">
        <f t="shared" si="51"/>
        <v>2071.9862356630265</v>
      </c>
      <c r="CM49" s="206">
        <f t="shared" si="51"/>
        <v>2002.4100645840792</v>
      </c>
      <c r="CN49" s="206">
        <f t="shared" si="51"/>
        <v>1933.221685742993</v>
      </c>
      <c r="CO49" s="206">
        <f t="shared" si="51"/>
        <v>1864.4193242445117</v>
      </c>
      <c r="CP49" s="206">
        <f t="shared" si="51"/>
        <v>1796.1558154190382</v>
      </c>
      <c r="CQ49" s="206">
        <f t="shared" si="51"/>
        <v>1728.2447667487017</v>
      </c>
      <c r="CR49" s="206">
        <f t="shared" si="51"/>
        <v>1660.6847917351324</v>
      </c>
      <c r="CS49" s="206">
        <f t="shared" si="51"/>
        <v>1593.4745392208529</v>
      </c>
      <c r="CT49" s="206">
        <f t="shared" si="51"/>
        <v>1526.6669696419535</v>
      </c>
      <c r="CU49" s="206">
        <f t="shared" si="51"/>
        <v>-6.9972236108590096</v>
      </c>
    </row>
    <row r="50" spans="2:99" s="101" customFormat="1" ht="11.25" x14ac:dyDescent="0.2">
      <c r="B50" s="224" t="s">
        <v>152</v>
      </c>
      <c r="C50" s="206"/>
      <c r="D50" s="206">
        <f>-D37/C47</f>
        <v>0</v>
      </c>
      <c r="E50" s="206">
        <f t="shared" ref="E50:BP50" si="52">-E37/D47</f>
        <v>0</v>
      </c>
      <c r="F50" s="206">
        <f t="shared" si="52"/>
        <v>188.9704993874729</v>
      </c>
      <c r="G50" s="206">
        <f t="shared" si="52"/>
        <v>841.1182264264794</v>
      </c>
      <c r="H50" s="206">
        <f t="shared" si="52"/>
        <v>-114.93511040364579</v>
      </c>
      <c r="I50" s="206">
        <f t="shared" si="52"/>
        <v>-111.63460320700649</v>
      </c>
      <c r="J50" s="206">
        <f t="shared" si="52"/>
        <v>-110.47196270365119</v>
      </c>
      <c r="K50" s="206">
        <f t="shared" si="52"/>
        <v>-109.3214329734224</v>
      </c>
      <c r="L50" s="206">
        <f t="shared" si="52"/>
        <v>-108.182887862028</v>
      </c>
      <c r="M50" s="206">
        <f t="shared" si="52"/>
        <v>-103.362030675174</v>
      </c>
      <c r="N50" s="206">
        <f t="shared" si="52"/>
        <v>-102.37119682880291</v>
      </c>
      <c r="O50" s="206">
        <f t="shared" si="52"/>
        <v>-101.38985841951958</v>
      </c>
      <c r="P50" s="206">
        <f t="shared" si="52"/>
        <v>-143.42310536962654</v>
      </c>
      <c r="Q50" s="206">
        <f t="shared" si="52"/>
        <v>-142.04239114686374</v>
      </c>
      <c r="R50" s="206">
        <f t="shared" si="52"/>
        <v>-140.67488086217423</v>
      </c>
      <c r="S50" s="206">
        <f t="shared" si="52"/>
        <v>-139.3204474439699</v>
      </c>
      <c r="T50" s="206">
        <f t="shared" si="52"/>
        <v>-135.74311670202925</v>
      </c>
      <c r="U50" s="206">
        <f t="shared" si="52"/>
        <v>-134.49259108142658</v>
      </c>
      <c r="V50" s="206">
        <f t="shared" si="52"/>
        <v>-4.8727034857192972</v>
      </c>
      <c r="W50" s="206">
        <f t="shared" si="52"/>
        <v>-132.04247630113079</v>
      </c>
      <c r="X50" s="206">
        <f t="shared" si="52"/>
        <v>-130.8260179545461</v>
      </c>
      <c r="Y50" s="206">
        <f t="shared" si="52"/>
        <v>-129.62068040619289</v>
      </c>
      <c r="Z50" s="206">
        <f t="shared" si="52"/>
        <v>-128.4263611247361</v>
      </c>
      <c r="AA50" s="206">
        <f t="shared" si="52"/>
        <v>-2935.0197780020922</v>
      </c>
      <c r="AB50" s="206">
        <f t="shared" si="52"/>
        <v>175.85063992432293</v>
      </c>
      <c r="AC50" s="206">
        <f t="shared" si="52"/>
        <v>174.29935339143378</v>
      </c>
      <c r="AD50" s="206">
        <f t="shared" si="52"/>
        <v>172.76008181366112</v>
      </c>
      <c r="AE50" s="206">
        <f t="shared" si="52"/>
        <v>-85.573397371617787</v>
      </c>
      <c r="AF50" s="206">
        <f t="shared" si="52"/>
        <v>-84.785654227664537</v>
      </c>
      <c r="AG50" s="206">
        <f t="shared" si="52"/>
        <v>-84.005118229182017</v>
      </c>
      <c r="AH50" s="206">
        <f t="shared" si="52"/>
        <v>-83.231723060952078</v>
      </c>
      <c r="AI50" s="206">
        <f t="shared" si="52"/>
        <v>-82.465403009506801</v>
      </c>
      <c r="AJ50" s="206">
        <f t="shared" si="52"/>
        <v>-81.706092957411016</v>
      </c>
      <c r="AK50" s="206">
        <f t="shared" si="52"/>
        <v>-80.953728377589158</v>
      </c>
      <c r="AL50" s="206">
        <f t="shared" si="52"/>
        <v>-80.208245327695352</v>
      </c>
      <c r="AM50" s="206">
        <f t="shared" si="52"/>
        <v>-79.469580444525732</v>
      </c>
      <c r="AN50" s="206">
        <f t="shared" si="52"/>
        <v>987.58928752591453</v>
      </c>
      <c r="AO50" s="206">
        <f t="shared" si="52"/>
        <v>-111.58727630643249</v>
      </c>
      <c r="AP50" s="206">
        <f t="shared" si="52"/>
        <v>-110.55651939355805</v>
      </c>
      <c r="AQ50" s="206">
        <f t="shared" si="52"/>
        <v>-109.53515067728519</v>
      </c>
      <c r="AR50" s="206">
        <f t="shared" si="52"/>
        <v>-108.52308257701608</v>
      </c>
      <c r="AS50" s="206">
        <f t="shared" si="52"/>
        <v>-107.52022825962283</v>
      </c>
      <c r="AT50" s="206">
        <f t="shared" si="52"/>
        <v>-105.11784255370686</v>
      </c>
      <c r="AU50" s="206">
        <f t="shared" si="52"/>
        <v>-104.19017230817423</v>
      </c>
      <c r="AV50" s="206">
        <f t="shared" si="52"/>
        <v>-103.27055153483774</v>
      </c>
      <c r="AW50" s="206">
        <f t="shared" si="52"/>
        <v>-102.35890800182996</v>
      </c>
      <c r="AX50" s="206">
        <f t="shared" si="52"/>
        <v>-101.45517003951869</v>
      </c>
      <c r="AY50" s="206">
        <f t="shared" si="52"/>
        <v>-2319.5266724842786</v>
      </c>
      <c r="AZ50" s="206">
        <f t="shared" si="52"/>
        <v>1204.8534018368096</v>
      </c>
      <c r="BA50" s="206">
        <f t="shared" si="52"/>
        <v>137.9237159503258</v>
      </c>
      <c r="BB50" s="206">
        <f t="shared" si="52"/>
        <v>136.76292738217501</v>
      </c>
      <c r="BC50" s="206">
        <f t="shared" si="52"/>
        <v>-67.771223227525027</v>
      </c>
      <c r="BD50" s="206">
        <f t="shared" si="52"/>
        <v>-67.174909482829719</v>
      </c>
      <c r="BE50" s="206">
        <f t="shared" si="52"/>
        <v>-66.583795097279776</v>
      </c>
      <c r="BF50" s="206">
        <f t="shared" si="52"/>
        <v>-65.997834201714966</v>
      </c>
      <c r="BG50" s="206">
        <f t="shared" si="52"/>
        <v>-65.416981317563383</v>
      </c>
      <c r="BH50" s="206">
        <f t="shared" si="52"/>
        <v>-64.080190599778206</v>
      </c>
      <c r="BI50" s="206">
        <f t="shared" si="52"/>
        <v>-63.542846448717611</v>
      </c>
      <c r="BJ50" s="206">
        <f t="shared" si="52"/>
        <v>-63.009959345101919</v>
      </c>
      <c r="BK50" s="206">
        <f t="shared" si="52"/>
        <v>-62.481491702962593</v>
      </c>
      <c r="BL50" s="206">
        <f t="shared" si="52"/>
        <v>958.89611902980744</v>
      </c>
      <c r="BM50" s="206">
        <f t="shared" si="52"/>
        <v>-87.896420921136368</v>
      </c>
      <c r="BN50" s="206">
        <f t="shared" si="52"/>
        <v>-86.445344258170522</v>
      </c>
      <c r="BO50" s="206">
        <f t="shared" si="52"/>
        <v>-85.754560586464635</v>
      </c>
      <c r="BP50" s="206">
        <f t="shared" si="52"/>
        <v>-85.069185138555483</v>
      </c>
      <c r="BQ50" s="206">
        <f t="shared" ref="BQ50:CU50" si="53">-BQ37/BP47</f>
        <v>-84.389173441270557</v>
      </c>
      <c r="BR50" s="206">
        <f t="shared" si="53"/>
        <v>-83.714481306502918</v>
      </c>
      <c r="BS50" s="206">
        <f t="shared" si="53"/>
        <v>-83.045064825294446</v>
      </c>
      <c r="BT50" s="206">
        <f t="shared" si="53"/>
        <v>-81.846686498769742</v>
      </c>
      <c r="BU50" s="206">
        <f t="shared" si="53"/>
        <v>-81.226235982211378</v>
      </c>
      <c r="BV50" s="206">
        <f t="shared" si="53"/>
        <v>-80.610367476805891</v>
      </c>
      <c r="BW50" s="206">
        <f t="shared" si="53"/>
        <v>-1845.2791459205635</v>
      </c>
      <c r="BX50" s="206">
        <f t="shared" si="53"/>
        <v>109.6176507092438</v>
      </c>
      <c r="BY50" s="206">
        <f t="shared" si="53"/>
        <v>108.87979332075741</v>
      </c>
      <c r="BZ50" s="206">
        <f t="shared" si="53"/>
        <v>108.14533315181328</v>
      </c>
      <c r="CA50" s="206">
        <f t="shared" si="53"/>
        <v>-53.680208552359247</v>
      </c>
      <c r="CB50" s="206">
        <f t="shared" si="53"/>
        <v>-53.295185630538256</v>
      </c>
      <c r="CC50" s="206">
        <f t="shared" si="53"/>
        <v>-52.580689564670969</v>
      </c>
      <c r="CD50" s="206">
        <f t="shared" si="53"/>
        <v>-52.225453067334286</v>
      </c>
      <c r="CE50" s="206">
        <f t="shared" si="53"/>
        <v>-51.872521187410612</v>
      </c>
      <c r="CF50" s="206">
        <f t="shared" si="53"/>
        <v>-51.244174764692566</v>
      </c>
      <c r="CG50" s="206">
        <f t="shared" si="53"/>
        <v>-50.919232743633472</v>
      </c>
      <c r="CH50" s="206">
        <f t="shared" si="53"/>
        <v>-50.596252811176839</v>
      </c>
      <c r="CI50" s="206">
        <f t="shared" si="53"/>
        <v>-50.051232839688538</v>
      </c>
      <c r="CJ50" s="206">
        <f t="shared" si="53"/>
        <v>-71.062656257700567</v>
      </c>
      <c r="CK50" s="206">
        <f t="shared" si="53"/>
        <v>-70.637370902910121</v>
      </c>
      <c r="CL50" s="206">
        <f t="shared" si="53"/>
        <v>-69.965767989689979</v>
      </c>
      <c r="CM50" s="206">
        <f t="shared" si="53"/>
        <v>-69.57617107894734</v>
      </c>
      <c r="CN50" s="206">
        <f t="shared" si="53"/>
        <v>-69.188378841086276</v>
      </c>
      <c r="CO50" s="206">
        <f t="shared" si="53"/>
        <v>-68.802361498481318</v>
      </c>
      <c r="CP50" s="206">
        <f t="shared" si="53"/>
        <v>-68.263508825473636</v>
      </c>
      <c r="CQ50" s="206">
        <f t="shared" si="53"/>
        <v>-67.911048670336328</v>
      </c>
      <c r="CR50" s="206">
        <f t="shared" si="53"/>
        <v>-67.5599750135693</v>
      </c>
      <c r="CS50" s="206">
        <f t="shared" si="53"/>
        <v>-67.210252514279432</v>
      </c>
      <c r="CT50" s="206">
        <f t="shared" si="53"/>
        <v>-66.807569578899262</v>
      </c>
      <c r="CU50" s="206">
        <f t="shared" si="53"/>
        <v>-1533.6641932528125</v>
      </c>
    </row>
    <row r="51" spans="2:99" s="101" customFormat="1" ht="11.25" x14ac:dyDescent="0.2">
      <c r="B51" s="224"/>
      <c r="C51" s="206"/>
      <c r="D51" s="206"/>
      <c r="E51" s="206"/>
      <c r="F51" s="217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</row>
    <row r="52" spans="2:99" s="101" customFormat="1" ht="11.25" x14ac:dyDescent="0.2">
      <c r="B52" s="224" t="s">
        <v>64</v>
      </c>
      <c r="C52" s="226">
        <f>POWER(1+IRR(C37:CU37),12)-1</f>
        <v>0.99753295907451944</v>
      </c>
      <c r="D52" s="206"/>
      <c r="E52" s="206"/>
      <c r="F52" s="217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</row>
    <row r="53" spans="2:99" s="101" customFormat="1" ht="11.25" x14ac:dyDescent="0.2">
      <c r="C53" s="205">
        <f>IRR(C37:CU37)</f>
        <v>5.9354126955500686E-2</v>
      </c>
      <c r="D53" s="101" t="s">
        <v>142</v>
      </c>
      <c r="F53" s="208"/>
    </row>
    <row r="54" spans="2:99" s="101" customFormat="1" ht="11.25" x14ac:dyDescent="0.2">
      <c r="F54" s="208"/>
    </row>
    <row r="55" spans="2:99" s="101" customFormat="1" x14ac:dyDescent="0.25">
      <c r="B55" s="260" t="s">
        <v>154</v>
      </c>
      <c r="F55" s="263">
        <f>0.23*F49</f>
        <v>2343.463214859119</v>
      </c>
      <c r="CP55" s="261"/>
    </row>
    <row r="56" spans="2:99" s="101" customFormat="1" x14ac:dyDescent="0.25">
      <c r="B56" s="260"/>
      <c r="F56" s="264">
        <f>F55*F47</f>
        <v>76621580.270760953</v>
      </c>
      <c r="CP56" s="261"/>
    </row>
    <row r="57" spans="2:99" x14ac:dyDescent="0.25">
      <c r="B57" s="259" t="s">
        <v>156</v>
      </c>
      <c r="F57" s="263">
        <f>0.77*F49</f>
        <v>7845.5072845283539</v>
      </c>
      <c r="CP57" s="262"/>
    </row>
    <row r="58" spans="2:99" x14ac:dyDescent="0.25">
      <c r="B58" s="259"/>
      <c r="F58" s="264">
        <f>F57*F47</f>
        <v>256515725.25428662</v>
      </c>
      <c r="CP58" s="262"/>
    </row>
    <row r="59" spans="2:99" x14ac:dyDescent="0.25">
      <c r="B59" t="s">
        <v>155</v>
      </c>
    </row>
  </sheetData>
  <mergeCells count="10">
    <mergeCell ref="CV2:DG2"/>
    <mergeCell ref="B43:C43"/>
    <mergeCell ref="AZ3:BK3"/>
    <mergeCell ref="D3:AA3"/>
    <mergeCell ref="AB3:AY3"/>
    <mergeCell ref="BL3:CU3"/>
    <mergeCell ref="AB2:AY2"/>
    <mergeCell ref="AZ2:BW2"/>
    <mergeCell ref="D2:AA2"/>
    <mergeCell ref="BX2:CU2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6"/>
  <sheetViews>
    <sheetView topLeftCell="A25" workbookViewId="0">
      <selection activeCell="D31" sqref="D31"/>
    </sheetView>
  </sheetViews>
  <sheetFormatPr baseColWidth="10" defaultRowHeight="15" x14ac:dyDescent="0.25"/>
  <cols>
    <col min="2" max="2" width="15.140625" customWidth="1"/>
    <col min="3" max="3" width="13.28515625" bestFit="1" customWidth="1"/>
    <col min="4" max="4" width="17.85546875" bestFit="1" customWidth="1"/>
    <col min="6" max="6" width="13.28515625" bestFit="1" customWidth="1"/>
    <col min="8" max="8" width="13.28515625" bestFit="1" customWidth="1"/>
    <col min="10" max="10" width="15" bestFit="1" customWidth="1"/>
    <col min="11" max="11" width="12.28515625" bestFit="1" customWidth="1"/>
    <col min="12" max="12" width="13.7109375" bestFit="1" customWidth="1"/>
    <col min="13" max="13" width="12.28515625" bestFit="1" customWidth="1"/>
    <col min="17" max="17" width="13.28515625" bestFit="1" customWidth="1"/>
  </cols>
  <sheetData>
    <row r="2" spans="2:12" ht="20.25" x14ac:dyDescent="0.3">
      <c r="B2" s="94"/>
    </row>
    <row r="3" spans="2:12" ht="41.45" customHeight="1" x14ac:dyDescent="0.3">
      <c r="B3" s="247" t="s">
        <v>124</v>
      </c>
      <c r="C3" s="247"/>
      <c r="D3" s="247"/>
      <c r="E3" s="247"/>
      <c r="F3" s="247"/>
    </row>
    <row r="5" spans="2:12" x14ac:dyDescent="0.25">
      <c r="B5" s="245" t="s">
        <v>105</v>
      </c>
      <c r="C5" s="246"/>
      <c r="D5" s="246"/>
      <c r="E5" s="246"/>
      <c r="F5" s="246"/>
    </row>
    <row r="7" spans="2:12" x14ac:dyDescent="0.25">
      <c r="B7" s="248" t="s">
        <v>33</v>
      </c>
      <c r="C7" s="249"/>
      <c r="D7" s="249"/>
    </row>
    <row r="8" spans="2:12" x14ac:dyDescent="0.25">
      <c r="B8" s="58" t="s">
        <v>30</v>
      </c>
      <c r="C8" s="59" t="s">
        <v>31</v>
      </c>
      <c r="D8" s="60" t="s">
        <v>32</v>
      </c>
    </row>
    <row r="9" spans="2:12" ht="15.75" thickBot="1" x14ac:dyDescent="0.3">
      <c r="B9" s="61">
        <v>80055</v>
      </c>
      <c r="C9" s="76">
        <v>2500</v>
      </c>
      <c r="D9" s="37">
        <f>B9*C9</f>
        <v>200137500</v>
      </c>
    </row>
    <row r="12" spans="2:12" x14ac:dyDescent="0.25">
      <c r="B12" s="245" t="s">
        <v>27</v>
      </c>
      <c r="C12" s="246"/>
      <c r="D12" s="246"/>
      <c r="E12" s="246"/>
      <c r="F12" s="246"/>
      <c r="H12" s="245" t="s">
        <v>89</v>
      </c>
      <c r="I12" s="246"/>
      <c r="J12" s="246"/>
      <c r="K12" s="246"/>
      <c r="L12" s="246"/>
    </row>
    <row r="14" spans="2:12" x14ac:dyDescent="0.25">
      <c r="B14" s="248" t="s">
        <v>34</v>
      </c>
      <c r="C14" s="249"/>
      <c r="D14" s="249"/>
      <c r="E14" s="249"/>
      <c r="F14" s="251"/>
      <c r="H14" s="248" t="s">
        <v>89</v>
      </c>
      <c r="I14" s="249"/>
      <c r="J14" s="249"/>
      <c r="K14" s="250"/>
    </row>
    <row r="15" spans="2:12" x14ac:dyDescent="0.25">
      <c r="B15" s="58" t="s">
        <v>26</v>
      </c>
      <c r="C15" s="59" t="s">
        <v>28</v>
      </c>
      <c r="D15" s="59" t="s">
        <v>27</v>
      </c>
      <c r="E15" s="59" t="s">
        <v>1</v>
      </c>
      <c r="F15" s="60" t="s">
        <v>29</v>
      </c>
      <c r="H15" s="58" t="s">
        <v>91</v>
      </c>
      <c r="I15" s="35" t="s">
        <v>1</v>
      </c>
      <c r="J15" s="59" t="s">
        <v>3</v>
      </c>
      <c r="K15" s="60" t="s">
        <v>32</v>
      </c>
    </row>
    <row r="16" spans="2:12" ht="15.75" thickBot="1" x14ac:dyDescent="0.3">
      <c r="B16" s="92">
        <v>4</v>
      </c>
      <c r="C16" s="85">
        <v>15</v>
      </c>
      <c r="D16" s="85">
        <v>4</v>
      </c>
      <c r="E16" s="85">
        <v>120</v>
      </c>
      <c r="F16" s="93">
        <f>9488*B16</f>
        <v>37952</v>
      </c>
      <c r="H16" s="58"/>
      <c r="I16" s="35"/>
      <c r="J16" s="59"/>
      <c r="K16" s="60"/>
    </row>
    <row r="17" spans="2:12" x14ac:dyDescent="0.25">
      <c r="H17" s="28" t="s">
        <v>38</v>
      </c>
      <c r="I17" s="84">
        <v>450</v>
      </c>
      <c r="J17" s="33">
        <v>13000</v>
      </c>
      <c r="K17" s="34">
        <f>+I17*J17</f>
        <v>5850000</v>
      </c>
      <c r="L17" s="20">
        <f>+K17*16</f>
        <v>93600000</v>
      </c>
    </row>
    <row r="18" spans="2:12" ht="15.75" thickBot="1" x14ac:dyDescent="0.3">
      <c r="B18" s="248" t="s">
        <v>37</v>
      </c>
      <c r="C18" s="249"/>
      <c r="D18" s="249"/>
      <c r="H18" s="31" t="s">
        <v>90</v>
      </c>
      <c r="I18" s="85">
        <v>450</v>
      </c>
      <c r="J18" s="88">
        <v>50000</v>
      </c>
      <c r="K18" s="37">
        <f>+I18*J18</f>
        <v>22500000</v>
      </c>
    </row>
    <row r="19" spans="2:12" x14ac:dyDescent="0.25">
      <c r="B19" s="58" t="s">
        <v>1</v>
      </c>
      <c r="C19" s="59" t="s">
        <v>31</v>
      </c>
      <c r="D19" s="60" t="s">
        <v>74</v>
      </c>
    </row>
    <row r="20" spans="2:12" x14ac:dyDescent="0.25">
      <c r="B20" s="28">
        <v>120</v>
      </c>
      <c r="C20" s="29">
        <v>43672.813060819841</v>
      </c>
      <c r="D20" s="30">
        <f>B20*C20</f>
        <v>5240737.5672983807</v>
      </c>
    </row>
    <row r="21" spans="2:12" ht="15.75" thickBot="1" x14ac:dyDescent="0.3">
      <c r="B21" s="28">
        <v>20</v>
      </c>
      <c r="C21" s="29">
        <f>C20/2</f>
        <v>21836.40653040992</v>
      </c>
      <c r="D21" s="30">
        <f>B21*C21</f>
        <v>436728.13060819841</v>
      </c>
    </row>
    <row r="22" spans="2:12" ht="15.75" thickBot="1" x14ac:dyDescent="0.3">
      <c r="B22" s="31"/>
      <c r="C22" s="32"/>
      <c r="D22" s="27">
        <f>D20+D21</f>
        <v>5677465.6979065789</v>
      </c>
    </row>
    <row r="23" spans="2:12" x14ac:dyDescent="0.25">
      <c r="C23" t="s">
        <v>48</v>
      </c>
      <c r="D23" s="22">
        <f>+D22*180</f>
        <v>1021943825.6231842</v>
      </c>
      <c r="H23" s="39">
        <v>0.57399825401962845</v>
      </c>
      <c r="I23" s="39">
        <v>0.4260017459803716</v>
      </c>
    </row>
    <row r="24" spans="2:12" x14ac:dyDescent="0.25">
      <c r="C24" t="s">
        <v>49</v>
      </c>
      <c r="D24" s="23">
        <f>D22*('2) Parámetros y áreas'!C16*'2) Parámetros y áreas'!D16)</f>
        <v>340647941.87439471</v>
      </c>
      <c r="F24" s="25"/>
      <c r="H24" s="39">
        <v>0.14349956350490711</v>
      </c>
      <c r="I24" s="39">
        <v>0.1065004364950929</v>
      </c>
    </row>
    <row r="25" spans="2:12" x14ac:dyDescent="0.25">
      <c r="F25" s="25"/>
    </row>
    <row r="26" spans="2:12" x14ac:dyDescent="0.25">
      <c r="B26" s="248" t="s">
        <v>104</v>
      </c>
      <c r="C26" s="249"/>
      <c r="D26" s="249"/>
      <c r="F26" s="25"/>
      <c r="H26" s="39"/>
    </row>
    <row r="27" spans="2:12" x14ac:dyDescent="0.25">
      <c r="B27" s="58" t="s">
        <v>1</v>
      </c>
      <c r="C27" s="59" t="s">
        <v>3</v>
      </c>
      <c r="D27" s="60" t="s">
        <v>75</v>
      </c>
    </row>
    <row r="28" spans="2:12" x14ac:dyDescent="0.25">
      <c r="B28" s="28">
        <v>9488</v>
      </c>
      <c r="C28" s="33">
        <v>11272</v>
      </c>
      <c r="D28" s="34">
        <f>+B28*C28</f>
        <v>106948736</v>
      </c>
    </row>
    <row r="29" spans="2:12" x14ac:dyDescent="0.25">
      <c r="B29" s="28">
        <v>1200</v>
      </c>
      <c r="C29" s="33">
        <f>C28/2</f>
        <v>5636</v>
      </c>
      <c r="D29" s="34">
        <f>+B29*C29</f>
        <v>6763200</v>
      </c>
    </row>
    <row r="30" spans="2:12" ht="15.75" thickBot="1" x14ac:dyDescent="0.3">
      <c r="B30" s="28"/>
      <c r="C30" s="35" t="s">
        <v>39</v>
      </c>
      <c r="D30" s="36">
        <f>+D28+D29</f>
        <v>113711936</v>
      </c>
    </row>
    <row r="31" spans="2:12" ht="15.75" thickBot="1" x14ac:dyDescent="0.3">
      <c r="B31" s="31"/>
      <c r="C31" s="32" t="s">
        <v>98</v>
      </c>
      <c r="D31" s="38">
        <f>+D30*4</f>
        <v>454847744</v>
      </c>
    </row>
    <row r="32" spans="2:12" ht="15.75" thickBot="1" x14ac:dyDescent="0.3"/>
    <row r="33" spans="1:25" ht="15.75" thickBot="1" x14ac:dyDescent="0.3">
      <c r="B33" s="77" t="s">
        <v>81</v>
      </c>
      <c r="C33" s="78">
        <f>+D24/60</f>
        <v>5677465.6979065789</v>
      </c>
    </row>
    <row r="36" spans="1:25" x14ac:dyDescent="0.25">
      <c r="B36" s="245" t="s">
        <v>106</v>
      </c>
      <c r="C36" s="246"/>
      <c r="D36" s="246"/>
      <c r="E36" s="246"/>
      <c r="F36" s="246"/>
    </row>
    <row r="38" spans="1:25" x14ac:dyDescent="0.25">
      <c r="B38" s="248" t="s">
        <v>85</v>
      </c>
      <c r="C38" s="249"/>
      <c r="D38" s="249"/>
      <c r="E38" s="250"/>
    </row>
    <row r="39" spans="1:25" x14ac:dyDescent="0.25">
      <c r="B39" s="58" t="s">
        <v>86</v>
      </c>
      <c r="C39" s="35" t="s">
        <v>1</v>
      </c>
      <c r="D39" s="59" t="s">
        <v>3</v>
      </c>
      <c r="E39" s="60" t="s">
        <v>75</v>
      </c>
    </row>
    <row r="40" spans="1:25" ht="15.75" thickBot="1" x14ac:dyDescent="0.3">
      <c r="B40" s="28" t="s">
        <v>87</v>
      </c>
      <c r="C40" s="84">
        <v>16000</v>
      </c>
      <c r="D40" s="35">
        <v>493</v>
      </c>
      <c r="E40" s="86">
        <f>C40*D40</f>
        <v>7888000</v>
      </c>
    </row>
    <row r="41" spans="1:25" ht="15.75" thickBot="1" x14ac:dyDescent="0.3">
      <c r="B41" s="31" t="s">
        <v>88</v>
      </c>
      <c r="C41" s="85">
        <v>24000</v>
      </c>
      <c r="D41" s="32">
        <v>225</v>
      </c>
      <c r="E41" s="87">
        <f>C41*D41</f>
        <v>5400000</v>
      </c>
    </row>
    <row r="44" spans="1:25" x14ac:dyDescent="0.25">
      <c r="B44" s="245" t="s">
        <v>136</v>
      </c>
      <c r="C44" s="246"/>
      <c r="D44" s="246"/>
      <c r="E44" s="246"/>
      <c r="F44" s="246"/>
    </row>
    <row r="45" spans="1:25" x14ac:dyDescent="0.25">
      <c r="A45" t="s">
        <v>134</v>
      </c>
      <c r="B45" s="180">
        <v>1</v>
      </c>
      <c r="C45" s="180">
        <v>2</v>
      </c>
      <c r="D45" s="180">
        <v>3</v>
      </c>
      <c r="E45" s="180">
        <v>4</v>
      </c>
      <c r="F45" s="180">
        <v>5</v>
      </c>
      <c r="G45" s="180">
        <v>6</v>
      </c>
      <c r="H45" s="180">
        <v>7</v>
      </c>
      <c r="I45" s="180">
        <v>8</v>
      </c>
      <c r="J45" s="180">
        <v>9</v>
      </c>
      <c r="K45" s="180">
        <v>10</v>
      </c>
      <c r="L45" s="180">
        <v>11</v>
      </c>
      <c r="M45" s="180">
        <v>12</v>
      </c>
      <c r="N45" s="180">
        <v>13</v>
      </c>
      <c r="O45" s="180">
        <v>14</v>
      </c>
      <c r="P45" s="180">
        <v>15</v>
      </c>
      <c r="Q45" s="180">
        <v>16</v>
      </c>
      <c r="R45" s="180">
        <v>17</v>
      </c>
      <c r="S45" s="180">
        <v>18</v>
      </c>
      <c r="T45" s="180">
        <v>19</v>
      </c>
      <c r="U45" s="180">
        <v>20</v>
      </c>
      <c r="V45" s="180">
        <v>21</v>
      </c>
      <c r="W45" s="180">
        <v>22</v>
      </c>
      <c r="X45" s="180">
        <v>23</v>
      </c>
      <c r="Y45" s="180">
        <v>24</v>
      </c>
    </row>
    <row r="46" spans="1:25" x14ac:dyDescent="0.25">
      <c r="A46" t="s">
        <v>135</v>
      </c>
      <c r="B46" s="123">
        <v>3.3838939144051846E-3</v>
      </c>
      <c r="C46" s="123">
        <v>1.3535575657620738E-2</v>
      </c>
      <c r="D46" s="123">
        <v>2.3687257400836291E-2</v>
      </c>
      <c r="E46" s="123">
        <v>3.0455045229646663E-2</v>
      </c>
      <c r="F46" s="123">
        <v>3.0455045229646663E-2</v>
      </c>
      <c r="G46" s="123">
        <v>3.0455045229646663E-2</v>
      </c>
      <c r="H46" s="123">
        <v>3.0455045229646663E-2</v>
      </c>
      <c r="I46" s="123">
        <v>3.0455045229646663E-2</v>
      </c>
      <c r="J46" s="123">
        <v>3.0455045229646663E-2</v>
      </c>
      <c r="K46" s="123">
        <v>3.0455045229646663E-2</v>
      </c>
      <c r="L46" s="123">
        <v>3.0455045229646663E-2</v>
      </c>
      <c r="M46" s="123">
        <v>3.0455045229646663E-2</v>
      </c>
      <c r="N46" s="123">
        <v>3.0455045229646663E-2</v>
      </c>
      <c r="O46" s="123">
        <v>3.0455045229646663E-2</v>
      </c>
      <c r="P46" s="123">
        <v>3.0455045229646663E-2</v>
      </c>
      <c r="Q46" s="123">
        <v>3.0455045229646663E-2</v>
      </c>
      <c r="R46" s="123">
        <v>3.0455045229646663E-2</v>
      </c>
      <c r="S46" s="123">
        <v>3.0455045229646663E-2</v>
      </c>
      <c r="T46" s="123">
        <v>3.0455045229646663E-2</v>
      </c>
      <c r="U46" s="123">
        <v>3.0455045229646663E-2</v>
      </c>
      <c r="V46" s="123">
        <v>3.0455045229646663E-2</v>
      </c>
      <c r="W46" s="123">
        <v>3.0455045229646663E-2</v>
      </c>
      <c r="X46" s="123">
        <v>3.0455045229646663E-2</v>
      </c>
      <c r="Y46" s="80">
        <f>1-SUM(B46:X46)</f>
        <v>0.35029236843420453</v>
      </c>
    </row>
  </sheetData>
  <mergeCells count="12">
    <mergeCell ref="B44:F44"/>
    <mergeCell ref="B3:F3"/>
    <mergeCell ref="B38:E38"/>
    <mergeCell ref="B12:F12"/>
    <mergeCell ref="H12:L12"/>
    <mergeCell ref="B5:F5"/>
    <mergeCell ref="B36:F36"/>
    <mergeCell ref="B18:D18"/>
    <mergeCell ref="B26:D26"/>
    <mergeCell ref="B7:D7"/>
    <mergeCell ref="H14:K14"/>
    <mergeCell ref="B14:F1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F11" sqref="F11"/>
    </sheetView>
  </sheetViews>
  <sheetFormatPr baseColWidth="10" defaultRowHeight="12.75" x14ac:dyDescent="0.2"/>
  <cols>
    <col min="1" max="1" width="5.7109375" style="105" customWidth="1"/>
    <col min="2" max="2" width="52.85546875" style="105" customWidth="1"/>
    <col min="3" max="3" width="44.85546875" style="105" customWidth="1"/>
    <col min="4" max="4" width="16.7109375" style="105" customWidth="1"/>
    <col min="5" max="5" width="11.7109375" style="105" customWidth="1"/>
    <col min="6" max="256" width="11.5703125" style="105"/>
    <col min="257" max="257" width="5.7109375" style="105" customWidth="1"/>
    <col min="258" max="258" width="11.5703125" style="105"/>
    <col min="259" max="259" width="23.140625" style="105" customWidth="1"/>
    <col min="260" max="260" width="11.5703125" style="105"/>
    <col min="261" max="261" width="10" style="105" customWidth="1"/>
    <col min="262" max="512" width="11.5703125" style="105"/>
    <col min="513" max="513" width="5.7109375" style="105" customWidth="1"/>
    <col min="514" max="514" width="11.5703125" style="105"/>
    <col min="515" max="515" width="23.140625" style="105" customWidth="1"/>
    <col min="516" max="516" width="11.5703125" style="105"/>
    <col min="517" max="517" width="10" style="105" customWidth="1"/>
    <col min="518" max="768" width="11.5703125" style="105"/>
    <col min="769" max="769" width="5.7109375" style="105" customWidth="1"/>
    <col min="770" max="770" width="11.5703125" style="105"/>
    <col min="771" max="771" width="23.140625" style="105" customWidth="1"/>
    <col min="772" max="772" width="11.5703125" style="105"/>
    <col min="773" max="773" width="10" style="105" customWidth="1"/>
    <col min="774" max="1024" width="11.5703125" style="105"/>
    <col min="1025" max="1025" width="5.7109375" style="105" customWidth="1"/>
    <col min="1026" max="1026" width="11.5703125" style="105"/>
    <col min="1027" max="1027" width="23.140625" style="105" customWidth="1"/>
    <col min="1028" max="1028" width="11.5703125" style="105"/>
    <col min="1029" max="1029" width="10" style="105" customWidth="1"/>
    <col min="1030" max="1280" width="11.5703125" style="105"/>
    <col min="1281" max="1281" width="5.7109375" style="105" customWidth="1"/>
    <col min="1282" max="1282" width="11.5703125" style="105"/>
    <col min="1283" max="1283" width="23.140625" style="105" customWidth="1"/>
    <col min="1284" max="1284" width="11.5703125" style="105"/>
    <col min="1285" max="1285" width="10" style="105" customWidth="1"/>
    <col min="1286" max="1536" width="11.5703125" style="105"/>
    <col min="1537" max="1537" width="5.7109375" style="105" customWidth="1"/>
    <col min="1538" max="1538" width="11.5703125" style="105"/>
    <col min="1539" max="1539" width="23.140625" style="105" customWidth="1"/>
    <col min="1540" max="1540" width="11.5703125" style="105"/>
    <col min="1541" max="1541" width="10" style="105" customWidth="1"/>
    <col min="1542" max="1792" width="11.5703125" style="105"/>
    <col min="1793" max="1793" width="5.7109375" style="105" customWidth="1"/>
    <col min="1794" max="1794" width="11.5703125" style="105"/>
    <col min="1795" max="1795" width="23.140625" style="105" customWidth="1"/>
    <col min="1796" max="1796" width="11.5703125" style="105"/>
    <col min="1797" max="1797" width="10" style="105" customWidth="1"/>
    <col min="1798" max="2048" width="11.5703125" style="105"/>
    <col min="2049" max="2049" width="5.7109375" style="105" customWidth="1"/>
    <col min="2050" max="2050" width="11.5703125" style="105"/>
    <col min="2051" max="2051" width="23.140625" style="105" customWidth="1"/>
    <col min="2052" max="2052" width="11.5703125" style="105"/>
    <col min="2053" max="2053" width="10" style="105" customWidth="1"/>
    <col min="2054" max="2304" width="11.5703125" style="105"/>
    <col min="2305" max="2305" width="5.7109375" style="105" customWidth="1"/>
    <col min="2306" max="2306" width="11.5703125" style="105"/>
    <col min="2307" max="2307" width="23.140625" style="105" customWidth="1"/>
    <col min="2308" max="2308" width="11.5703125" style="105"/>
    <col min="2309" max="2309" width="10" style="105" customWidth="1"/>
    <col min="2310" max="2560" width="11.5703125" style="105"/>
    <col min="2561" max="2561" width="5.7109375" style="105" customWidth="1"/>
    <col min="2562" max="2562" width="11.5703125" style="105"/>
    <col min="2563" max="2563" width="23.140625" style="105" customWidth="1"/>
    <col min="2564" max="2564" width="11.5703125" style="105"/>
    <col min="2565" max="2565" width="10" style="105" customWidth="1"/>
    <col min="2566" max="2816" width="11.5703125" style="105"/>
    <col min="2817" max="2817" width="5.7109375" style="105" customWidth="1"/>
    <col min="2818" max="2818" width="11.5703125" style="105"/>
    <col min="2819" max="2819" width="23.140625" style="105" customWidth="1"/>
    <col min="2820" max="2820" width="11.5703125" style="105"/>
    <col min="2821" max="2821" width="10" style="105" customWidth="1"/>
    <col min="2822" max="3072" width="11.5703125" style="105"/>
    <col min="3073" max="3073" width="5.7109375" style="105" customWidth="1"/>
    <col min="3074" max="3074" width="11.5703125" style="105"/>
    <col min="3075" max="3075" width="23.140625" style="105" customWidth="1"/>
    <col min="3076" max="3076" width="11.5703125" style="105"/>
    <col min="3077" max="3077" width="10" style="105" customWidth="1"/>
    <col min="3078" max="3328" width="11.5703125" style="105"/>
    <col min="3329" max="3329" width="5.7109375" style="105" customWidth="1"/>
    <col min="3330" max="3330" width="11.5703125" style="105"/>
    <col min="3331" max="3331" width="23.140625" style="105" customWidth="1"/>
    <col min="3332" max="3332" width="11.5703125" style="105"/>
    <col min="3333" max="3333" width="10" style="105" customWidth="1"/>
    <col min="3334" max="3584" width="11.5703125" style="105"/>
    <col min="3585" max="3585" width="5.7109375" style="105" customWidth="1"/>
    <col min="3586" max="3586" width="11.5703125" style="105"/>
    <col min="3587" max="3587" width="23.140625" style="105" customWidth="1"/>
    <col min="3588" max="3588" width="11.5703125" style="105"/>
    <col min="3589" max="3589" width="10" style="105" customWidth="1"/>
    <col min="3590" max="3840" width="11.5703125" style="105"/>
    <col min="3841" max="3841" width="5.7109375" style="105" customWidth="1"/>
    <col min="3842" max="3842" width="11.5703125" style="105"/>
    <col min="3843" max="3843" width="23.140625" style="105" customWidth="1"/>
    <col min="3844" max="3844" width="11.5703125" style="105"/>
    <col min="3845" max="3845" width="10" style="105" customWidth="1"/>
    <col min="3846" max="4096" width="11.5703125" style="105"/>
    <col min="4097" max="4097" width="5.7109375" style="105" customWidth="1"/>
    <col min="4098" max="4098" width="11.5703125" style="105"/>
    <col min="4099" max="4099" width="23.140625" style="105" customWidth="1"/>
    <col min="4100" max="4100" width="11.5703125" style="105"/>
    <col min="4101" max="4101" width="10" style="105" customWidth="1"/>
    <col min="4102" max="4352" width="11.5703125" style="105"/>
    <col min="4353" max="4353" width="5.7109375" style="105" customWidth="1"/>
    <col min="4354" max="4354" width="11.5703125" style="105"/>
    <col min="4355" max="4355" width="23.140625" style="105" customWidth="1"/>
    <col min="4356" max="4356" width="11.5703125" style="105"/>
    <col min="4357" max="4357" width="10" style="105" customWidth="1"/>
    <col min="4358" max="4608" width="11.5703125" style="105"/>
    <col min="4609" max="4609" width="5.7109375" style="105" customWidth="1"/>
    <col min="4610" max="4610" width="11.5703125" style="105"/>
    <col min="4611" max="4611" width="23.140625" style="105" customWidth="1"/>
    <col min="4612" max="4612" width="11.5703125" style="105"/>
    <col min="4613" max="4613" width="10" style="105" customWidth="1"/>
    <col min="4614" max="4864" width="11.5703125" style="105"/>
    <col min="4865" max="4865" width="5.7109375" style="105" customWidth="1"/>
    <col min="4866" max="4866" width="11.5703125" style="105"/>
    <col min="4867" max="4867" width="23.140625" style="105" customWidth="1"/>
    <col min="4868" max="4868" width="11.5703125" style="105"/>
    <col min="4869" max="4869" width="10" style="105" customWidth="1"/>
    <col min="4870" max="5120" width="11.5703125" style="105"/>
    <col min="5121" max="5121" width="5.7109375" style="105" customWidth="1"/>
    <col min="5122" max="5122" width="11.5703125" style="105"/>
    <col min="5123" max="5123" width="23.140625" style="105" customWidth="1"/>
    <col min="5124" max="5124" width="11.5703125" style="105"/>
    <col min="5125" max="5125" width="10" style="105" customWidth="1"/>
    <col min="5126" max="5376" width="11.5703125" style="105"/>
    <col min="5377" max="5377" width="5.7109375" style="105" customWidth="1"/>
    <col min="5378" max="5378" width="11.5703125" style="105"/>
    <col min="5379" max="5379" width="23.140625" style="105" customWidth="1"/>
    <col min="5380" max="5380" width="11.5703125" style="105"/>
    <col min="5381" max="5381" width="10" style="105" customWidth="1"/>
    <col min="5382" max="5632" width="11.5703125" style="105"/>
    <col min="5633" max="5633" width="5.7109375" style="105" customWidth="1"/>
    <col min="5634" max="5634" width="11.5703125" style="105"/>
    <col min="5635" max="5635" width="23.140625" style="105" customWidth="1"/>
    <col min="5636" max="5636" width="11.5703125" style="105"/>
    <col min="5637" max="5637" width="10" style="105" customWidth="1"/>
    <col min="5638" max="5888" width="11.5703125" style="105"/>
    <col min="5889" max="5889" width="5.7109375" style="105" customWidth="1"/>
    <col min="5890" max="5890" width="11.5703125" style="105"/>
    <col min="5891" max="5891" width="23.140625" style="105" customWidth="1"/>
    <col min="5892" max="5892" width="11.5703125" style="105"/>
    <col min="5893" max="5893" width="10" style="105" customWidth="1"/>
    <col min="5894" max="6144" width="11.5703125" style="105"/>
    <col min="6145" max="6145" width="5.7109375" style="105" customWidth="1"/>
    <col min="6146" max="6146" width="11.5703125" style="105"/>
    <col min="6147" max="6147" width="23.140625" style="105" customWidth="1"/>
    <col min="6148" max="6148" width="11.5703125" style="105"/>
    <col min="6149" max="6149" width="10" style="105" customWidth="1"/>
    <col min="6150" max="6400" width="11.5703125" style="105"/>
    <col min="6401" max="6401" width="5.7109375" style="105" customWidth="1"/>
    <col min="6402" max="6402" width="11.5703125" style="105"/>
    <col min="6403" max="6403" width="23.140625" style="105" customWidth="1"/>
    <col min="6404" max="6404" width="11.5703125" style="105"/>
    <col min="6405" max="6405" width="10" style="105" customWidth="1"/>
    <col min="6406" max="6656" width="11.5703125" style="105"/>
    <col min="6657" max="6657" width="5.7109375" style="105" customWidth="1"/>
    <col min="6658" max="6658" width="11.5703125" style="105"/>
    <col min="6659" max="6659" width="23.140625" style="105" customWidth="1"/>
    <col min="6660" max="6660" width="11.5703125" style="105"/>
    <col min="6661" max="6661" width="10" style="105" customWidth="1"/>
    <col min="6662" max="6912" width="11.5703125" style="105"/>
    <col min="6913" max="6913" width="5.7109375" style="105" customWidth="1"/>
    <col min="6914" max="6914" width="11.5703125" style="105"/>
    <col min="6915" max="6915" width="23.140625" style="105" customWidth="1"/>
    <col min="6916" max="6916" width="11.5703125" style="105"/>
    <col min="6917" max="6917" width="10" style="105" customWidth="1"/>
    <col min="6918" max="7168" width="11.5703125" style="105"/>
    <col min="7169" max="7169" width="5.7109375" style="105" customWidth="1"/>
    <col min="7170" max="7170" width="11.5703125" style="105"/>
    <col min="7171" max="7171" width="23.140625" style="105" customWidth="1"/>
    <col min="7172" max="7172" width="11.5703125" style="105"/>
    <col min="7173" max="7173" width="10" style="105" customWidth="1"/>
    <col min="7174" max="7424" width="11.5703125" style="105"/>
    <col min="7425" max="7425" width="5.7109375" style="105" customWidth="1"/>
    <col min="7426" max="7426" width="11.5703125" style="105"/>
    <col min="7427" max="7427" width="23.140625" style="105" customWidth="1"/>
    <col min="7428" max="7428" width="11.5703125" style="105"/>
    <col min="7429" max="7429" width="10" style="105" customWidth="1"/>
    <col min="7430" max="7680" width="11.5703125" style="105"/>
    <col min="7681" max="7681" width="5.7109375" style="105" customWidth="1"/>
    <col min="7682" max="7682" width="11.5703125" style="105"/>
    <col min="7683" max="7683" width="23.140625" style="105" customWidth="1"/>
    <col min="7684" max="7684" width="11.5703125" style="105"/>
    <col min="7685" max="7685" width="10" style="105" customWidth="1"/>
    <col min="7686" max="7936" width="11.5703125" style="105"/>
    <col min="7937" max="7937" width="5.7109375" style="105" customWidth="1"/>
    <col min="7938" max="7938" width="11.5703125" style="105"/>
    <col min="7939" max="7939" width="23.140625" style="105" customWidth="1"/>
    <col min="7940" max="7940" width="11.5703125" style="105"/>
    <col min="7941" max="7941" width="10" style="105" customWidth="1"/>
    <col min="7942" max="8192" width="11.5703125" style="105"/>
    <col min="8193" max="8193" width="5.7109375" style="105" customWidth="1"/>
    <col min="8194" max="8194" width="11.5703125" style="105"/>
    <col min="8195" max="8195" width="23.140625" style="105" customWidth="1"/>
    <col min="8196" max="8196" width="11.5703125" style="105"/>
    <col min="8197" max="8197" width="10" style="105" customWidth="1"/>
    <col min="8198" max="8448" width="11.5703125" style="105"/>
    <col min="8449" max="8449" width="5.7109375" style="105" customWidth="1"/>
    <col min="8450" max="8450" width="11.5703125" style="105"/>
    <col min="8451" max="8451" width="23.140625" style="105" customWidth="1"/>
    <col min="8452" max="8452" width="11.5703125" style="105"/>
    <col min="8453" max="8453" width="10" style="105" customWidth="1"/>
    <col min="8454" max="8704" width="11.5703125" style="105"/>
    <col min="8705" max="8705" width="5.7109375" style="105" customWidth="1"/>
    <col min="8706" max="8706" width="11.5703125" style="105"/>
    <col min="8707" max="8707" width="23.140625" style="105" customWidth="1"/>
    <col min="8708" max="8708" width="11.5703125" style="105"/>
    <col min="8709" max="8709" width="10" style="105" customWidth="1"/>
    <col min="8710" max="8960" width="11.5703125" style="105"/>
    <col min="8961" max="8961" width="5.7109375" style="105" customWidth="1"/>
    <col min="8962" max="8962" width="11.5703125" style="105"/>
    <col min="8963" max="8963" width="23.140625" style="105" customWidth="1"/>
    <col min="8964" max="8964" width="11.5703125" style="105"/>
    <col min="8965" max="8965" width="10" style="105" customWidth="1"/>
    <col min="8966" max="9216" width="11.5703125" style="105"/>
    <col min="9217" max="9217" width="5.7109375" style="105" customWidth="1"/>
    <col min="9218" max="9218" width="11.5703125" style="105"/>
    <col min="9219" max="9219" width="23.140625" style="105" customWidth="1"/>
    <col min="9220" max="9220" width="11.5703125" style="105"/>
    <col min="9221" max="9221" width="10" style="105" customWidth="1"/>
    <col min="9222" max="9472" width="11.5703125" style="105"/>
    <col min="9473" max="9473" width="5.7109375" style="105" customWidth="1"/>
    <col min="9474" max="9474" width="11.5703125" style="105"/>
    <col min="9475" max="9475" width="23.140625" style="105" customWidth="1"/>
    <col min="9476" max="9476" width="11.5703125" style="105"/>
    <col min="9477" max="9477" width="10" style="105" customWidth="1"/>
    <col min="9478" max="9728" width="11.5703125" style="105"/>
    <col min="9729" max="9729" width="5.7109375" style="105" customWidth="1"/>
    <col min="9730" max="9730" width="11.5703125" style="105"/>
    <col min="9731" max="9731" width="23.140625" style="105" customWidth="1"/>
    <col min="9732" max="9732" width="11.5703125" style="105"/>
    <col min="9733" max="9733" width="10" style="105" customWidth="1"/>
    <col min="9734" max="9984" width="11.5703125" style="105"/>
    <col min="9985" max="9985" width="5.7109375" style="105" customWidth="1"/>
    <col min="9986" max="9986" width="11.5703125" style="105"/>
    <col min="9987" max="9987" width="23.140625" style="105" customWidth="1"/>
    <col min="9988" max="9988" width="11.5703125" style="105"/>
    <col min="9989" max="9989" width="10" style="105" customWidth="1"/>
    <col min="9990" max="10240" width="11.5703125" style="105"/>
    <col min="10241" max="10241" width="5.7109375" style="105" customWidth="1"/>
    <col min="10242" max="10242" width="11.5703125" style="105"/>
    <col min="10243" max="10243" width="23.140625" style="105" customWidth="1"/>
    <col min="10244" max="10244" width="11.5703125" style="105"/>
    <col min="10245" max="10245" width="10" style="105" customWidth="1"/>
    <col min="10246" max="10496" width="11.5703125" style="105"/>
    <col min="10497" max="10497" width="5.7109375" style="105" customWidth="1"/>
    <col min="10498" max="10498" width="11.5703125" style="105"/>
    <col min="10499" max="10499" width="23.140625" style="105" customWidth="1"/>
    <col min="10500" max="10500" width="11.5703125" style="105"/>
    <col min="10501" max="10501" width="10" style="105" customWidth="1"/>
    <col min="10502" max="10752" width="11.5703125" style="105"/>
    <col min="10753" max="10753" width="5.7109375" style="105" customWidth="1"/>
    <col min="10754" max="10754" width="11.5703125" style="105"/>
    <col min="10755" max="10755" width="23.140625" style="105" customWidth="1"/>
    <col min="10756" max="10756" width="11.5703125" style="105"/>
    <col min="10757" max="10757" width="10" style="105" customWidth="1"/>
    <col min="10758" max="11008" width="11.5703125" style="105"/>
    <col min="11009" max="11009" width="5.7109375" style="105" customWidth="1"/>
    <col min="11010" max="11010" width="11.5703125" style="105"/>
    <col min="11011" max="11011" width="23.140625" style="105" customWidth="1"/>
    <col min="11012" max="11012" width="11.5703125" style="105"/>
    <col min="11013" max="11013" width="10" style="105" customWidth="1"/>
    <col min="11014" max="11264" width="11.5703125" style="105"/>
    <col min="11265" max="11265" width="5.7109375" style="105" customWidth="1"/>
    <col min="11266" max="11266" width="11.5703125" style="105"/>
    <col min="11267" max="11267" width="23.140625" style="105" customWidth="1"/>
    <col min="11268" max="11268" width="11.5703125" style="105"/>
    <col min="11269" max="11269" width="10" style="105" customWidth="1"/>
    <col min="11270" max="11520" width="11.5703125" style="105"/>
    <col min="11521" max="11521" width="5.7109375" style="105" customWidth="1"/>
    <col min="11522" max="11522" width="11.5703125" style="105"/>
    <col min="11523" max="11523" width="23.140625" style="105" customWidth="1"/>
    <col min="11524" max="11524" width="11.5703125" style="105"/>
    <col min="11525" max="11525" width="10" style="105" customWidth="1"/>
    <col min="11526" max="11776" width="11.5703125" style="105"/>
    <col min="11777" max="11777" width="5.7109375" style="105" customWidth="1"/>
    <col min="11778" max="11778" width="11.5703125" style="105"/>
    <col min="11779" max="11779" width="23.140625" style="105" customWidth="1"/>
    <col min="11780" max="11780" width="11.5703125" style="105"/>
    <col min="11781" max="11781" width="10" style="105" customWidth="1"/>
    <col min="11782" max="12032" width="11.5703125" style="105"/>
    <col min="12033" max="12033" width="5.7109375" style="105" customWidth="1"/>
    <col min="12034" max="12034" width="11.5703125" style="105"/>
    <col min="12035" max="12035" width="23.140625" style="105" customWidth="1"/>
    <col min="12036" max="12036" width="11.5703125" style="105"/>
    <col min="12037" max="12037" width="10" style="105" customWidth="1"/>
    <col min="12038" max="12288" width="11.5703125" style="105"/>
    <col min="12289" max="12289" width="5.7109375" style="105" customWidth="1"/>
    <col min="12290" max="12290" width="11.5703125" style="105"/>
    <col min="12291" max="12291" width="23.140625" style="105" customWidth="1"/>
    <col min="12292" max="12292" width="11.5703125" style="105"/>
    <col min="12293" max="12293" width="10" style="105" customWidth="1"/>
    <col min="12294" max="12544" width="11.5703125" style="105"/>
    <col min="12545" max="12545" width="5.7109375" style="105" customWidth="1"/>
    <col min="12546" max="12546" width="11.5703125" style="105"/>
    <col min="12547" max="12547" width="23.140625" style="105" customWidth="1"/>
    <col min="12548" max="12548" width="11.5703125" style="105"/>
    <col min="12549" max="12549" width="10" style="105" customWidth="1"/>
    <col min="12550" max="12800" width="11.5703125" style="105"/>
    <col min="12801" max="12801" width="5.7109375" style="105" customWidth="1"/>
    <col min="12802" max="12802" width="11.5703125" style="105"/>
    <col min="12803" max="12803" width="23.140625" style="105" customWidth="1"/>
    <col min="12804" max="12804" width="11.5703125" style="105"/>
    <col min="12805" max="12805" width="10" style="105" customWidth="1"/>
    <col min="12806" max="13056" width="11.5703125" style="105"/>
    <col min="13057" max="13057" width="5.7109375" style="105" customWidth="1"/>
    <col min="13058" max="13058" width="11.5703125" style="105"/>
    <col min="13059" max="13059" width="23.140625" style="105" customWidth="1"/>
    <col min="13060" max="13060" width="11.5703125" style="105"/>
    <col min="13061" max="13061" width="10" style="105" customWidth="1"/>
    <col min="13062" max="13312" width="11.5703125" style="105"/>
    <col min="13313" max="13313" width="5.7109375" style="105" customWidth="1"/>
    <col min="13314" max="13314" width="11.5703125" style="105"/>
    <col min="13315" max="13315" width="23.140625" style="105" customWidth="1"/>
    <col min="13316" max="13316" width="11.5703125" style="105"/>
    <col min="13317" max="13317" width="10" style="105" customWidth="1"/>
    <col min="13318" max="13568" width="11.5703125" style="105"/>
    <col min="13569" max="13569" width="5.7109375" style="105" customWidth="1"/>
    <col min="13570" max="13570" width="11.5703125" style="105"/>
    <col min="13571" max="13571" width="23.140625" style="105" customWidth="1"/>
    <col min="13572" max="13572" width="11.5703125" style="105"/>
    <col min="13573" max="13573" width="10" style="105" customWidth="1"/>
    <col min="13574" max="13824" width="11.5703125" style="105"/>
    <col min="13825" max="13825" width="5.7109375" style="105" customWidth="1"/>
    <col min="13826" max="13826" width="11.5703125" style="105"/>
    <col min="13827" max="13827" width="23.140625" style="105" customWidth="1"/>
    <col min="13828" max="13828" width="11.5703125" style="105"/>
    <col min="13829" max="13829" width="10" style="105" customWidth="1"/>
    <col min="13830" max="14080" width="11.5703125" style="105"/>
    <col min="14081" max="14081" width="5.7109375" style="105" customWidth="1"/>
    <col min="14082" max="14082" width="11.5703125" style="105"/>
    <col min="14083" max="14083" width="23.140625" style="105" customWidth="1"/>
    <col min="14084" max="14084" width="11.5703125" style="105"/>
    <col min="14085" max="14085" width="10" style="105" customWidth="1"/>
    <col min="14086" max="14336" width="11.5703125" style="105"/>
    <col min="14337" max="14337" width="5.7109375" style="105" customWidth="1"/>
    <col min="14338" max="14338" width="11.5703125" style="105"/>
    <col min="14339" max="14339" width="23.140625" style="105" customWidth="1"/>
    <col min="14340" max="14340" width="11.5703125" style="105"/>
    <col min="14341" max="14341" width="10" style="105" customWidth="1"/>
    <col min="14342" max="14592" width="11.5703125" style="105"/>
    <col min="14593" max="14593" width="5.7109375" style="105" customWidth="1"/>
    <col min="14594" max="14594" width="11.5703125" style="105"/>
    <col min="14595" max="14595" width="23.140625" style="105" customWidth="1"/>
    <col min="14596" max="14596" width="11.5703125" style="105"/>
    <col min="14597" max="14597" width="10" style="105" customWidth="1"/>
    <col min="14598" max="14848" width="11.5703125" style="105"/>
    <col min="14849" max="14849" width="5.7109375" style="105" customWidth="1"/>
    <col min="14850" max="14850" width="11.5703125" style="105"/>
    <col min="14851" max="14851" width="23.140625" style="105" customWidth="1"/>
    <col min="14852" max="14852" width="11.5703125" style="105"/>
    <col min="14853" max="14853" width="10" style="105" customWidth="1"/>
    <col min="14854" max="15104" width="11.5703125" style="105"/>
    <col min="15105" max="15105" width="5.7109375" style="105" customWidth="1"/>
    <col min="15106" max="15106" width="11.5703125" style="105"/>
    <col min="15107" max="15107" width="23.140625" style="105" customWidth="1"/>
    <col min="15108" max="15108" width="11.5703125" style="105"/>
    <col min="15109" max="15109" width="10" style="105" customWidth="1"/>
    <col min="15110" max="15360" width="11.5703125" style="105"/>
    <col min="15361" max="15361" width="5.7109375" style="105" customWidth="1"/>
    <col min="15362" max="15362" width="11.5703125" style="105"/>
    <col min="15363" max="15363" width="23.140625" style="105" customWidth="1"/>
    <col min="15364" max="15364" width="11.5703125" style="105"/>
    <col min="15365" max="15365" width="10" style="105" customWidth="1"/>
    <col min="15366" max="15616" width="11.5703125" style="105"/>
    <col min="15617" max="15617" width="5.7109375" style="105" customWidth="1"/>
    <col min="15618" max="15618" width="11.5703125" style="105"/>
    <col min="15619" max="15619" width="23.140625" style="105" customWidth="1"/>
    <col min="15620" max="15620" width="11.5703125" style="105"/>
    <col min="15621" max="15621" width="10" style="105" customWidth="1"/>
    <col min="15622" max="15872" width="11.5703125" style="105"/>
    <col min="15873" max="15873" width="5.7109375" style="105" customWidth="1"/>
    <col min="15874" max="15874" width="11.5703125" style="105"/>
    <col min="15875" max="15875" width="23.140625" style="105" customWidth="1"/>
    <col min="15876" max="15876" width="11.5703125" style="105"/>
    <col min="15877" max="15877" width="10" style="105" customWidth="1"/>
    <col min="15878" max="16128" width="11.5703125" style="105"/>
    <col min="16129" max="16129" width="5.7109375" style="105" customWidth="1"/>
    <col min="16130" max="16130" width="11.5703125" style="105"/>
    <col min="16131" max="16131" width="23.140625" style="105" customWidth="1"/>
    <col min="16132" max="16132" width="11.5703125" style="105"/>
    <col min="16133" max="16133" width="10" style="105" customWidth="1"/>
    <col min="16134" max="16384" width="11.5703125" style="105"/>
  </cols>
  <sheetData>
    <row r="2" spans="1:7" ht="20.25" x14ac:dyDescent="0.3">
      <c r="A2" s="94" t="s">
        <v>125</v>
      </c>
      <c r="B2" s="111"/>
      <c r="C2" s="111"/>
      <c r="D2" s="111"/>
      <c r="E2" s="111"/>
    </row>
    <row r="3" spans="1:7" ht="20.25" x14ac:dyDescent="0.3">
      <c r="A3" s="94" t="s">
        <v>100</v>
      </c>
    </row>
    <row r="5" spans="1:7" ht="15" x14ac:dyDescent="0.25">
      <c r="C5" s="70" t="s">
        <v>54</v>
      </c>
      <c r="D5" s="248" t="s">
        <v>116</v>
      </c>
      <c r="E5" s="249"/>
      <c r="F5" s="70" t="s">
        <v>115</v>
      </c>
      <c r="G5" s="70" t="s">
        <v>32</v>
      </c>
    </row>
    <row r="7" spans="1:7" ht="15" x14ac:dyDescent="0.25">
      <c r="B7" s="106" t="s">
        <v>117</v>
      </c>
      <c r="C7" s="112" t="s">
        <v>118</v>
      </c>
      <c r="D7" s="107">
        <f>-'desagregado quincenal'!C34</f>
        <v>50034375</v>
      </c>
      <c r="E7" s="108">
        <f>D7/$D$10</f>
        <v>0.95241211111772051</v>
      </c>
      <c r="F7" s="109">
        <f>$F$10*D7/$D$10</f>
        <v>163354193.04846138</v>
      </c>
      <c r="G7" s="107">
        <f>D7+F7</f>
        <v>213388568.04846138</v>
      </c>
    </row>
    <row r="8" spans="1:7" ht="15" x14ac:dyDescent="0.25">
      <c r="B8" s="106" t="s">
        <v>148</v>
      </c>
      <c r="C8" s="112" t="s">
        <v>141</v>
      </c>
      <c r="D8" s="107">
        <f>D10-D7</f>
        <v>2500000</v>
      </c>
      <c r="E8" s="108">
        <f>D8/$D$10</f>
        <v>4.758788888227946E-2</v>
      </c>
      <c r="F8" s="109">
        <f>$F$10*D8/$D$10</f>
        <v>8162098.2099037599</v>
      </c>
      <c r="G8" s="107">
        <f>D8+F8</f>
        <v>10662098.20990376</v>
      </c>
    </row>
    <row r="9" spans="1:7" ht="15" x14ac:dyDescent="0.25">
      <c r="B9" s="106"/>
      <c r="D9" s="109"/>
      <c r="E9" s="109"/>
      <c r="F9" s="109"/>
      <c r="G9" s="107"/>
    </row>
    <row r="10" spans="1:7" ht="15" x14ac:dyDescent="0.25">
      <c r="B10" s="106" t="s">
        <v>32</v>
      </c>
      <c r="D10" s="107">
        <f>-'desagregado quincenal'!C39</f>
        <v>52534375</v>
      </c>
      <c r="E10" s="113">
        <f>+SUM(E7:E8)</f>
        <v>1</v>
      </c>
      <c r="F10" s="107">
        <f>G10-D10</f>
        <v>171516291.25836512</v>
      </c>
      <c r="G10" s="107">
        <f>'desagregado quincenal'!C45</f>
        <v>224050666.25836512</v>
      </c>
    </row>
    <row r="12" spans="1:7" x14ac:dyDescent="0.2">
      <c r="D12" s="110"/>
      <c r="E12" s="110"/>
    </row>
  </sheetData>
  <mergeCells count="1">
    <mergeCell ref="D5:E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B6" sqref="B6"/>
    </sheetView>
  </sheetViews>
  <sheetFormatPr baseColWidth="10" defaultRowHeight="15" x14ac:dyDescent="0.25"/>
  <cols>
    <col min="1" max="1" width="58.28515625" bestFit="1" customWidth="1"/>
    <col min="2" max="8" width="12.28515625" customWidth="1"/>
    <col min="9" max="9" width="13.28515625" bestFit="1" customWidth="1"/>
  </cols>
  <sheetData>
    <row r="3" spans="1:9" x14ac:dyDescent="0.25">
      <c r="A3" s="115" t="s">
        <v>102</v>
      </c>
      <c r="B3" s="115" t="s">
        <v>40</v>
      </c>
      <c r="C3" s="115" t="s">
        <v>41</v>
      </c>
      <c r="D3" s="115" t="s">
        <v>42</v>
      </c>
      <c r="E3" s="115" t="s">
        <v>43</v>
      </c>
      <c r="F3" s="115" t="s">
        <v>44</v>
      </c>
      <c r="G3" s="115" t="s">
        <v>45</v>
      </c>
      <c r="H3" s="115" t="s">
        <v>47</v>
      </c>
      <c r="I3" s="115" t="s">
        <v>32</v>
      </c>
    </row>
    <row r="4" spans="1:9" x14ac:dyDescent="0.25">
      <c r="A4" s="114" t="s">
        <v>119</v>
      </c>
      <c r="B4" s="116">
        <f>+'2) Parámetros y áreas'!$B$9/4</f>
        <v>20013.75</v>
      </c>
      <c r="C4" s="114"/>
      <c r="D4" s="116">
        <f>+'2) Parámetros y áreas'!$B$9/4</f>
        <v>20013.75</v>
      </c>
      <c r="E4" s="114"/>
      <c r="F4" s="116">
        <f>+'2) Parámetros y áreas'!$B$9/4</f>
        <v>20013.75</v>
      </c>
      <c r="G4" s="114"/>
      <c r="H4" s="116">
        <f>+'2) Parámetros y áreas'!$B$9/4</f>
        <v>20013.75</v>
      </c>
      <c r="I4" s="116">
        <f>+SUM(B4:H4)</f>
        <v>80055</v>
      </c>
    </row>
    <row r="5" spans="1:9" x14ac:dyDescent="0.25">
      <c r="A5" s="114" t="s">
        <v>121</v>
      </c>
      <c r="B5" s="117">
        <v>2500</v>
      </c>
      <c r="C5" s="114"/>
      <c r="D5" s="117">
        <f>+B5*1.1</f>
        <v>2750</v>
      </c>
      <c r="E5" s="114"/>
      <c r="F5" s="117">
        <f>+D5*1.1</f>
        <v>3025.0000000000005</v>
      </c>
      <c r="G5" s="114"/>
      <c r="H5" s="117">
        <f>+F5*1.1</f>
        <v>3327.5000000000009</v>
      </c>
      <c r="I5" s="114"/>
    </row>
    <row r="6" spans="1:9" x14ac:dyDescent="0.25">
      <c r="A6" s="114" t="s">
        <v>120</v>
      </c>
      <c r="B6" s="118">
        <f>+B4*B5</f>
        <v>50034375</v>
      </c>
      <c r="C6" s="114"/>
      <c r="D6" s="118">
        <f>+D4*D5</f>
        <v>55037812.5</v>
      </c>
      <c r="E6" s="114"/>
      <c r="F6" s="118">
        <f>+F4*F5</f>
        <v>60541593.750000007</v>
      </c>
      <c r="G6" s="114"/>
      <c r="H6" s="118">
        <f>+H4*H5</f>
        <v>66595753.125000015</v>
      </c>
      <c r="I6" s="118">
        <f>+SUM(B6:H6)</f>
        <v>232209534.375</v>
      </c>
    </row>
    <row r="9" spans="1:9" x14ac:dyDescent="0.25">
      <c r="A9" t="s">
        <v>122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J19" sqref="J19"/>
    </sheetView>
  </sheetViews>
  <sheetFormatPr baseColWidth="10" defaultRowHeight="15" x14ac:dyDescent="0.25"/>
  <cols>
    <col min="1" max="1" width="11.42578125" customWidth="1"/>
    <col min="5" max="5" width="12.5703125" bestFit="1" customWidth="1"/>
    <col min="12" max="12" width="14.140625" bestFit="1" customWidth="1"/>
    <col min="13" max="13" width="13.5703125" bestFit="1" customWidth="1"/>
  </cols>
  <sheetData>
    <row r="1" spans="1:15" x14ac:dyDescent="0.25">
      <c r="A1" s="1"/>
      <c r="B1" s="2"/>
      <c r="C1" s="2"/>
      <c r="D1" s="3"/>
      <c r="E1" s="3"/>
      <c r="J1" s="1"/>
      <c r="K1" s="2"/>
      <c r="L1" s="4"/>
      <c r="M1" s="4"/>
      <c r="N1" s="4"/>
      <c r="O1" s="4"/>
    </row>
    <row r="2" spans="1:15" x14ac:dyDescent="0.25">
      <c r="A2" s="252" t="s">
        <v>0</v>
      </c>
      <c r="B2" s="252"/>
      <c r="C2" s="252"/>
      <c r="D2" s="252"/>
      <c r="E2" s="252"/>
      <c r="F2" s="252"/>
      <c r="G2" s="252"/>
      <c r="J2" s="252" t="s">
        <v>18</v>
      </c>
      <c r="K2" s="252"/>
      <c r="L2" s="252"/>
      <c r="M2" s="252"/>
      <c r="N2" s="252"/>
      <c r="O2" s="252"/>
    </row>
    <row r="3" spans="1:15" x14ac:dyDescent="0.25">
      <c r="A3" s="5"/>
      <c r="B3" s="252" t="s">
        <v>1</v>
      </c>
      <c r="C3" s="252"/>
      <c r="D3" s="256" t="s">
        <v>2</v>
      </c>
      <c r="E3" s="256"/>
      <c r="F3" s="257" t="s">
        <v>3</v>
      </c>
      <c r="G3" s="257"/>
      <c r="J3" s="5"/>
      <c r="K3" s="6"/>
      <c r="L3" s="256" t="s">
        <v>2</v>
      </c>
      <c r="M3" s="256"/>
      <c r="N3" s="252" t="s">
        <v>3</v>
      </c>
      <c r="O3" s="252"/>
    </row>
    <row r="4" spans="1:15" x14ac:dyDescent="0.25">
      <c r="A4" s="5" t="s">
        <v>4</v>
      </c>
      <c r="B4" s="6" t="s">
        <v>5</v>
      </c>
      <c r="C4" s="6"/>
      <c r="D4" s="7" t="s">
        <v>6</v>
      </c>
      <c r="E4" s="7" t="s">
        <v>7</v>
      </c>
      <c r="F4" s="7" t="s">
        <v>6</v>
      </c>
      <c r="G4" s="7" t="s">
        <v>7</v>
      </c>
      <c r="J4" s="5" t="s">
        <v>4</v>
      </c>
      <c r="K4" s="6" t="s">
        <v>1</v>
      </c>
      <c r="L4" s="8" t="s">
        <v>6</v>
      </c>
      <c r="M4" s="8" t="s">
        <v>7</v>
      </c>
      <c r="N4" s="8" t="s">
        <v>6</v>
      </c>
      <c r="O4" s="8" t="s">
        <v>7</v>
      </c>
    </row>
    <row r="5" spans="1:15" x14ac:dyDescent="0.25">
      <c r="A5" s="5" t="s">
        <v>10</v>
      </c>
      <c r="B5" s="6">
        <v>140</v>
      </c>
      <c r="C5" s="6"/>
      <c r="D5" s="7">
        <v>280000</v>
      </c>
      <c r="E5" s="7">
        <f t="shared" ref="E5:E11" si="0">D5*18</f>
        <v>5040000</v>
      </c>
      <c r="F5" s="9">
        <f t="shared" ref="F5:F12" si="1">D5/B5</f>
        <v>2000</v>
      </c>
      <c r="G5" s="9">
        <f t="shared" ref="G5:G12" si="2">E5/B5</f>
        <v>36000</v>
      </c>
      <c r="J5" s="5" t="s">
        <v>19</v>
      </c>
      <c r="K5" s="6">
        <v>1124</v>
      </c>
      <c r="L5" s="8">
        <v>1500000</v>
      </c>
      <c r="M5" s="7">
        <f t="shared" ref="M5:M11" si="3">L5*18</f>
        <v>27000000</v>
      </c>
      <c r="N5" s="9">
        <f t="shared" ref="N5:N11" si="4">L5/K5</f>
        <v>1334.5195729537365</v>
      </c>
      <c r="O5" s="9">
        <f t="shared" ref="O5:O11" si="5">M5/K5</f>
        <v>24021.352313167259</v>
      </c>
    </row>
    <row r="6" spans="1:15" x14ac:dyDescent="0.25">
      <c r="A6" s="5" t="s">
        <v>11</v>
      </c>
      <c r="B6" s="6">
        <v>123</v>
      </c>
      <c r="C6" s="6"/>
      <c r="D6" s="7">
        <v>347000</v>
      </c>
      <c r="E6" s="7">
        <f t="shared" si="0"/>
        <v>6246000</v>
      </c>
      <c r="F6" s="9">
        <f t="shared" si="1"/>
        <v>2821.1382113821137</v>
      </c>
      <c r="G6" s="9">
        <f t="shared" si="2"/>
        <v>50780.487804878052</v>
      </c>
      <c r="J6" s="5" t="s">
        <v>20</v>
      </c>
      <c r="K6" s="6">
        <v>10291</v>
      </c>
      <c r="L6" s="8">
        <v>9000000</v>
      </c>
      <c r="M6" s="7">
        <f t="shared" si="3"/>
        <v>162000000</v>
      </c>
      <c r="N6" s="9">
        <f t="shared" si="4"/>
        <v>874.55057817510442</v>
      </c>
      <c r="O6" s="9">
        <f t="shared" si="5"/>
        <v>15741.91040715188</v>
      </c>
    </row>
    <row r="7" spans="1:15" x14ac:dyDescent="0.25">
      <c r="A7" s="13" t="s">
        <v>12</v>
      </c>
      <c r="B7" s="14">
        <v>98</v>
      </c>
      <c r="C7" s="14"/>
      <c r="D7" s="15">
        <v>270000</v>
      </c>
      <c r="E7" s="15">
        <f t="shared" si="0"/>
        <v>4860000</v>
      </c>
      <c r="F7" s="16">
        <f t="shared" si="1"/>
        <v>2755.1020408163267</v>
      </c>
      <c r="G7" s="16">
        <f t="shared" si="2"/>
        <v>49591.836734693876</v>
      </c>
      <c r="J7" s="13" t="s">
        <v>21</v>
      </c>
      <c r="K7" s="14">
        <v>16669</v>
      </c>
      <c r="L7" s="19">
        <v>350000</v>
      </c>
      <c r="M7" s="15">
        <f t="shared" si="3"/>
        <v>6300000</v>
      </c>
      <c r="N7" s="16">
        <f t="shared" si="4"/>
        <v>20.997060411542385</v>
      </c>
      <c r="O7" s="16">
        <f t="shared" si="5"/>
        <v>377.94708740776292</v>
      </c>
    </row>
    <row r="8" spans="1:15" x14ac:dyDescent="0.25">
      <c r="A8" s="13" t="s">
        <v>13</v>
      </c>
      <c r="B8" s="14">
        <v>49</v>
      </c>
      <c r="C8" s="14"/>
      <c r="D8" s="15">
        <v>120000</v>
      </c>
      <c r="E8" s="15">
        <f t="shared" si="0"/>
        <v>2160000</v>
      </c>
      <c r="F8" s="16">
        <f t="shared" si="1"/>
        <v>2448.9795918367345</v>
      </c>
      <c r="G8" s="16">
        <f t="shared" si="2"/>
        <v>44081.632653061228</v>
      </c>
      <c r="J8" s="17" t="s">
        <v>22</v>
      </c>
      <c r="K8" s="18">
        <v>478</v>
      </c>
      <c r="L8" s="19">
        <v>300000</v>
      </c>
      <c r="M8" s="15">
        <f t="shared" si="3"/>
        <v>5400000</v>
      </c>
      <c r="N8" s="16">
        <f t="shared" si="4"/>
        <v>627.61506276150624</v>
      </c>
      <c r="O8" s="16">
        <f t="shared" si="5"/>
        <v>11297.071129707114</v>
      </c>
    </row>
    <row r="9" spans="1:15" x14ac:dyDescent="0.25">
      <c r="A9" s="13" t="s">
        <v>14</v>
      </c>
      <c r="B9" s="14">
        <v>49</v>
      </c>
      <c r="C9" s="14"/>
      <c r="D9" s="15">
        <v>140000</v>
      </c>
      <c r="E9" s="15">
        <f t="shared" si="0"/>
        <v>2520000</v>
      </c>
      <c r="F9" s="16">
        <f t="shared" si="1"/>
        <v>2857.1428571428573</v>
      </c>
      <c r="G9" s="16">
        <f t="shared" si="2"/>
        <v>51428.571428571428</v>
      </c>
      <c r="J9" s="1" t="s">
        <v>23</v>
      </c>
      <c r="K9" s="2">
        <v>2958</v>
      </c>
      <c r="L9" s="8">
        <v>750000</v>
      </c>
      <c r="M9" s="7">
        <f t="shared" si="3"/>
        <v>13500000</v>
      </c>
      <c r="N9" s="9">
        <f t="shared" si="4"/>
        <v>253.54969574036511</v>
      </c>
      <c r="O9" s="9">
        <f t="shared" si="5"/>
        <v>4563.8945233265722</v>
      </c>
    </row>
    <row r="10" spans="1:15" x14ac:dyDescent="0.25">
      <c r="A10" s="5" t="s">
        <v>15</v>
      </c>
      <c r="B10" s="6">
        <v>268</v>
      </c>
      <c r="C10" s="6"/>
      <c r="D10" s="7">
        <v>540000</v>
      </c>
      <c r="E10" s="7">
        <f t="shared" si="0"/>
        <v>9720000</v>
      </c>
      <c r="F10" s="9">
        <f t="shared" si="1"/>
        <v>2014.9253731343283</v>
      </c>
      <c r="G10" s="9">
        <f t="shared" si="2"/>
        <v>36268.656716417907</v>
      </c>
      <c r="J10" s="1" t="s">
        <v>24</v>
      </c>
      <c r="K10" s="2">
        <v>441</v>
      </c>
      <c r="L10" s="8">
        <v>390000</v>
      </c>
      <c r="M10" s="7">
        <f t="shared" si="3"/>
        <v>7020000</v>
      </c>
      <c r="N10" s="9">
        <f t="shared" si="4"/>
        <v>884.35374149659867</v>
      </c>
      <c r="O10" s="9">
        <f t="shared" si="5"/>
        <v>15918.367346938776</v>
      </c>
    </row>
    <row r="11" spans="1:15" x14ac:dyDescent="0.25">
      <c r="A11" s="5" t="s">
        <v>16</v>
      </c>
      <c r="B11" s="6">
        <v>250</v>
      </c>
      <c r="C11" s="6"/>
      <c r="D11" s="7">
        <v>458000</v>
      </c>
      <c r="E11" s="7">
        <f t="shared" si="0"/>
        <v>8244000</v>
      </c>
      <c r="F11" s="9">
        <f t="shared" si="1"/>
        <v>1832</v>
      </c>
      <c r="G11" s="9">
        <f t="shared" si="2"/>
        <v>32976</v>
      </c>
      <c r="J11" s="1" t="s">
        <v>25</v>
      </c>
      <c r="K11" s="2">
        <v>1397</v>
      </c>
      <c r="L11" s="8">
        <v>300000</v>
      </c>
      <c r="M11" s="7">
        <f t="shared" si="3"/>
        <v>5400000</v>
      </c>
      <c r="N11" s="9">
        <f t="shared" si="4"/>
        <v>214.74588403722262</v>
      </c>
      <c r="O11" s="9">
        <f t="shared" si="5"/>
        <v>3865.4259126700072</v>
      </c>
    </row>
    <row r="12" spans="1:15" x14ac:dyDescent="0.25">
      <c r="A12" s="5" t="s">
        <v>17</v>
      </c>
      <c r="B12" s="6">
        <v>235</v>
      </c>
      <c r="C12" s="6"/>
      <c r="D12" s="7">
        <v>630000</v>
      </c>
      <c r="E12" s="7">
        <f>D12*18</f>
        <v>11340000</v>
      </c>
      <c r="F12" s="9">
        <f t="shared" si="1"/>
        <v>2680.8510638297871</v>
      </c>
      <c r="G12" s="9">
        <f t="shared" si="2"/>
        <v>48255.319148936171</v>
      </c>
      <c r="J12" s="5"/>
      <c r="K12" s="252" t="s">
        <v>8</v>
      </c>
      <c r="L12" s="252"/>
      <c r="M12" s="252"/>
      <c r="N12" s="10">
        <f>AVERAGE(N5:N7)</f>
        <v>743.35573718012768</v>
      </c>
      <c r="O12" s="10">
        <f>AVERAGE(O5:O7)</f>
        <v>13380.403269242299</v>
      </c>
    </row>
    <row r="13" spans="1:15" x14ac:dyDescent="0.25">
      <c r="A13" s="11"/>
      <c r="B13" s="253" t="s">
        <v>9</v>
      </c>
      <c r="C13" s="254"/>
      <c r="D13" s="254"/>
      <c r="E13" s="255"/>
      <c r="F13" s="12">
        <f>AVERAGE(F5:F12)</f>
        <v>2426.2673922677686</v>
      </c>
      <c r="G13" s="12">
        <f>AVERAGE(G5:G12)</f>
        <v>43672.813060819841</v>
      </c>
    </row>
    <row r="14" spans="1:15" x14ac:dyDescent="0.25">
      <c r="A14" s="1"/>
      <c r="B14" s="2"/>
      <c r="C14" s="2"/>
      <c r="D14" s="3"/>
      <c r="E14" s="3"/>
      <c r="J14" s="1"/>
      <c r="K14" s="2"/>
      <c r="L14" s="4"/>
      <c r="M14" s="4"/>
      <c r="N14" s="4"/>
      <c r="O14" s="4"/>
    </row>
    <row r="15" spans="1:15" x14ac:dyDescent="0.25">
      <c r="A15" s="1"/>
      <c r="B15" s="2"/>
      <c r="C15" s="2"/>
      <c r="D15" s="3"/>
      <c r="E15" s="3"/>
      <c r="J15" s="1"/>
      <c r="K15" s="2"/>
      <c r="L15" s="4"/>
      <c r="M15" s="4"/>
      <c r="N15" s="4"/>
      <c r="O15" s="4"/>
    </row>
    <row r="16" spans="1:15" x14ac:dyDescent="0.25">
      <c r="A16" s="1"/>
      <c r="B16" s="2"/>
      <c r="C16" s="2"/>
      <c r="D16" s="3"/>
      <c r="E16" s="3"/>
      <c r="J16" s="1"/>
      <c r="K16" s="2"/>
      <c r="L16" s="4"/>
      <c r="M16" s="4"/>
      <c r="N16" s="4"/>
      <c r="O16" s="4"/>
    </row>
    <row r="17" spans="1:15" x14ac:dyDescent="0.25">
      <c r="A17" s="1"/>
      <c r="B17" s="2"/>
      <c r="C17" s="2"/>
      <c r="D17" s="3"/>
      <c r="E17" s="3"/>
      <c r="J17" s="1"/>
      <c r="K17" s="2"/>
      <c r="L17" s="4"/>
      <c r="M17" s="4"/>
      <c r="N17" s="4"/>
      <c r="O17" s="4"/>
    </row>
    <row r="18" spans="1:15" x14ac:dyDescent="0.25">
      <c r="A18" s="1"/>
      <c r="B18" s="2"/>
      <c r="C18" s="2"/>
      <c r="D18" s="3"/>
      <c r="E18" s="3"/>
      <c r="J18" s="1"/>
      <c r="K18" s="2"/>
      <c r="L18" s="4"/>
      <c r="M18" s="4"/>
      <c r="N18" s="4"/>
      <c r="O18" s="4"/>
    </row>
    <row r="19" spans="1:15" x14ac:dyDescent="0.25">
      <c r="A19" s="1"/>
      <c r="B19" s="2"/>
      <c r="C19" s="2"/>
      <c r="D19" s="3"/>
      <c r="E19" s="3"/>
      <c r="I19">
        <v>2598</v>
      </c>
      <c r="J19" s="1"/>
      <c r="K19" s="2"/>
      <c r="L19" s="4"/>
      <c r="M19" s="4"/>
      <c r="N19" s="4"/>
      <c r="O19" s="4"/>
    </row>
  </sheetData>
  <mergeCells count="9">
    <mergeCell ref="K12:M12"/>
    <mergeCell ref="B13:E13"/>
    <mergeCell ref="A2:G2"/>
    <mergeCell ref="J2:O2"/>
    <mergeCell ref="B3:C3"/>
    <mergeCell ref="D3:E3"/>
    <mergeCell ref="F3:G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1) Corrida Financiera</vt:lpstr>
      <vt:lpstr>1.1) Desagregado Trimestral</vt:lpstr>
      <vt:lpstr>desagregado quincenal</vt:lpstr>
      <vt:lpstr>2) Parámetros y áreas</vt:lpstr>
      <vt:lpstr>3) Resumen</vt:lpstr>
      <vt:lpstr>Calendario Aport Terreno</vt:lpstr>
      <vt:lpstr>Mercado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Mypsa</dc:creator>
  <cp:lastModifiedBy>Mitzy</cp:lastModifiedBy>
  <dcterms:created xsi:type="dcterms:W3CDTF">2018-02-09T19:34:18Z</dcterms:created>
  <dcterms:modified xsi:type="dcterms:W3CDTF">2019-12-23T04:47:34Z</dcterms:modified>
</cp:coreProperties>
</file>